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date1904="1" showInkAnnotation="0" autoCompressPictures="0"/>
  <bookViews>
    <workbookView minimized="1" xWindow="1120" yWindow="1120" windowWidth="24480" windowHeight="14940" tabRatio="667"/>
  </bookViews>
  <sheets>
    <sheet name="Calculator" sheetId="4" r:id="rId1"/>
    <sheet name="KA" sheetId="2" state="hidden" r:id="rId2"/>
    <sheet name="TCA" sheetId="7" state="hidden" r:id="rId3"/>
  </sheets>
  <definedNames>
    <definedName name="_xlnm.Print_Area" localSheetId="0">Calculator!$A$1:$K$43</definedName>
    <definedName name="_xlnm.Print_Area" localSheetId="1">KA!$A$1:$G$28</definedName>
    <definedName name="_xlnm.Print_Area" localSheetId="2">TCA!$A$1:$G$28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4" l="1"/>
  <c r="F16" i="4"/>
  <c r="H5" i="2"/>
  <c r="C36" i="2"/>
  <c r="F5" i="2"/>
  <c r="D36" i="2"/>
  <c r="E36" i="2"/>
  <c r="C50" i="2"/>
  <c r="P3" i="2"/>
  <c r="M3" i="2"/>
  <c r="N3" i="2"/>
  <c r="O3" i="2"/>
  <c r="Q3" i="2"/>
  <c r="R3" i="2"/>
  <c r="C64" i="2"/>
  <c r="D50" i="2"/>
  <c r="S3" i="2"/>
  <c r="D64" i="2"/>
  <c r="B76" i="2"/>
  <c r="C76" i="2"/>
  <c r="D76" i="2"/>
  <c r="E76" i="2"/>
  <c r="G18" i="4"/>
  <c r="G21" i="4"/>
  <c r="B3" i="2"/>
  <c r="B89" i="2"/>
  <c r="B91" i="2"/>
  <c r="C91" i="2"/>
  <c r="A89" i="2"/>
  <c r="C89" i="2"/>
  <c r="E5" i="2"/>
  <c r="E6" i="2"/>
  <c r="E7" i="2"/>
  <c r="D89" i="2"/>
  <c r="G89" i="2"/>
  <c r="H89" i="2"/>
  <c r="I89" i="2"/>
  <c r="I91" i="2"/>
  <c r="D91" i="2"/>
  <c r="B4" i="2"/>
  <c r="F89" i="2"/>
  <c r="F91" i="2"/>
  <c r="K91" i="2"/>
  <c r="B90" i="2"/>
  <c r="C90" i="2"/>
  <c r="I90" i="2"/>
  <c r="D90" i="2"/>
  <c r="F90" i="2"/>
  <c r="K90" i="2"/>
  <c r="B11" i="2"/>
  <c r="D101" i="2"/>
  <c r="E101" i="2"/>
  <c r="B99" i="2"/>
  <c r="B101" i="2"/>
  <c r="C101" i="2"/>
  <c r="G101" i="2"/>
  <c r="D99" i="2"/>
  <c r="E99" i="2"/>
  <c r="H99" i="2"/>
  <c r="I99" i="2"/>
  <c r="I101" i="2"/>
  <c r="A99" i="2"/>
  <c r="A101" i="2"/>
  <c r="J101" i="2"/>
  <c r="D100" i="2"/>
  <c r="E100" i="2"/>
  <c r="B100" i="2"/>
  <c r="C100" i="2"/>
  <c r="G100" i="2"/>
  <c r="I100" i="2"/>
  <c r="A100" i="2"/>
  <c r="J100" i="2"/>
  <c r="C11" i="2"/>
  <c r="D107" i="2"/>
  <c r="E107" i="2"/>
  <c r="A105" i="2"/>
  <c r="A107" i="2"/>
  <c r="N107" i="2"/>
  <c r="O107" i="2"/>
  <c r="D105" i="2"/>
  <c r="E105" i="2"/>
  <c r="F105" i="2"/>
  <c r="G105" i="2"/>
  <c r="H105" i="2"/>
  <c r="B105" i="2"/>
  <c r="C105" i="2"/>
  <c r="I105" i="2"/>
  <c r="I107" i="2"/>
  <c r="Q107" i="2"/>
  <c r="D106" i="2"/>
  <c r="E106" i="2"/>
  <c r="A106" i="2"/>
  <c r="N106" i="2"/>
  <c r="O106" i="2"/>
  <c r="I106" i="2"/>
  <c r="Q106" i="2"/>
  <c r="D11" i="2"/>
  <c r="E11" i="2"/>
  <c r="E14" i="2"/>
  <c r="D14" i="2"/>
  <c r="C14" i="2"/>
  <c r="B14" i="2"/>
  <c r="H22" i="2"/>
  <c r="J38" i="2"/>
  <c r="C38" i="2"/>
  <c r="D38" i="2"/>
  <c r="E38" i="2"/>
  <c r="C52" i="2"/>
  <c r="C66" i="2"/>
  <c r="D52" i="2"/>
  <c r="D66" i="2"/>
  <c r="B78" i="2"/>
  <c r="C78" i="2"/>
  <c r="I38" i="2"/>
  <c r="K38" i="2"/>
  <c r="I66" i="2"/>
  <c r="M66" i="2"/>
  <c r="J66" i="2"/>
  <c r="N66" i="2"/>
  <c r="M78" i="2"/>
  <c r="F29" i="4"/>
  <c r="H23" i="2"/>
  <c r="J39" i="2"/>
  <c r="C39" i="2"/>
  <c r="D39" i="2"/>
  <c r="E39" i="2"/>
  <c r="C53" i="2"/>
  <c r="C67" i="2"/>
  <c r="D53" i="2"/>
  <c r="D67" i="2"/>
  <c r="B79" i="2"/>
  <c r="C79" i="2"/>
  <c r="I39" i="2"/>
  <c r="K39" i="2"/>
  <c r="I67" i="2"/>
  <c r="M67" i="2"/>
  <c r="J67" i="2"/>
  <c r="N67" i="2"/>
  <c r="M79" i="2"/>
  <c r="F30" i="4"/>
  <c r="E30" i="4"/>
  <c r="E34" i="4"/>
  <c r="E33" i="4"/>
  <c r="E32" i="4"/>
  <c r="E31" i="4"/>
  <c r="E29" i="4"/>
  <c r="E28" i="4"/>
  <c r="E27" i="4"/>
  <c r="H31" i="4"/>
  <c r="E7" i="7"/>
  <c r="D89" i="7"/>
  <c r="A89" i="7"/>
  <c r="B3" i="7"/>
  <c r="B89" i="7"/>
  <c r="C89" i="7"/>
  <c r="G89" i="7"/>
  <c r="H89" i="7"/>
  <c r="I89" i="7"/>
  <c r="I91" i="7"/>
  <c r="P7" i="7"/>
  <c r="M7" i="7"/>
  <c r="Q7" i="7"/>
  <c r="R7" i="7"/>
  <c r="P8" i="7"/>
  <c r="M8" i="7"/>
  <c r="Q8" i="7"/>
  <c r="R8" i="7"/>
  <c r="P9" i="7"/>
  <c r="M9" i="7"/>
  <c r="Q9" i="7"/>
  <c r="R9" i="7"/>
  <c r="R10" i="7"/>
  <c r="S7" i="7"/>
  <c r="S8" i="7"/>
  <c r="S9" i="7"/>
  <c r="S10" i="7"/>
  <c r="T10" i="7"/>
  <c r="E6" i="7"/>
  <c r="D91" i="7"/>
  <c r="B91" i="7"/>
  <c r="C91" i="7"/>
  <c r="B4" i="7"/>
  <c r="F89" i="7"/>
  <c r="F91" i="7"/>
  <c r="K91" i="7"/>
  <c r="I90" i="7"/>
  <c r="E5" i="7"/>
  <c r="D90" i="7"/>
  <c r="B90" i="7"/>
  <c r="C90" i="7"/>
  <c r="F90" i="7"/>
  <c r="K90" i="7"/>
  <c r="B11" i="7"/>
  <c r="D101" i="7"/>
  <c r="E101" i="7"/>
  <c r="D99" i="7"/>
  <c r="E99" i="7"/>
  <c r="B99" i="7"/>
  <c r="H99" i="7"/>
  <c r="I99" i="7"/>
  <c r="I101" i="7"/>
  <c r="B101" i="7"/>
  <c r="C101" i="7"/>
  <c r="G101" i="7"/>
  <c r="A99" i="7"/>
  <c r="A101" i="7"/>
  <c r="J101" i="7"/>
  <c r="D100" i="7"/>
  <c r="E100" i="7"/>
  <c r="I100" i="7"/>
  <c r="B100" i="7"/>
  <c r="C100" i="7"/>
  <c r="G100" i="7"/>
  <c r="A100" i="7"/>
  <c r="J100" i="7"/>
  <c r="C11" i="7"/>
  <c r="D107" i="7"/>
  <c r="E107" i="7"/>
  <c r="D105" i="7"/>
  <c r="E105" i="7"/>
  <c r="A105" i="7"/>
  <c r="F105" i="7"/>
  <c r="G105" i="7"/>
  <c r="H105" i="7"/>
  <c r="B105" i="7"/>
  <c r="C105" i="7"/>
  <c r="I105" i="7"/>
  <c r="I107" i="7"/>
  <c r="A107" i="7"/>
  <c r="N107" i="7"/>
  <c r="O107" i="7"/>
  <c r="Q107" i="7"/>
  <c r="D106" i="7"/>
  <c r="E106" i="7"/>
  <c r="I106" i="7"/>
  <c r="A106" i="7"/>
  <c r="N106" i="7"/>
  <c r="O106" i="7"/>
  <c r="Q106" i="7"/>
  <c r="D11" i="7"/>
  <c r="E11" i="7"/>
  <c r="G5" i="7"/>
  <c r="E14" i="7"/>
  <c r="H24" i="7"/>
  <c r="J40" i="7"/>
  <c r="B41" i="7"/>
  <c r="C41" i="7"/>
  <c r="E41" i="7"/>
  <c r="U10" i="7"/>
  <c r="V10" i="7"/>
  <c r="W10" i="7"/>
  <c r="J16" i="4"/>
  <c r="D35" i="7"/>
  <c r="D41" i="7"/>
  <c r="F41" i="7"/>
  <c r="C55" i="7"/>
  <c r="P3" i="7"/>
  <c r="Q3" i="7"/>
  <c r="R3" i="7"/>
  <c r="C69" i="7"/>
  <c r="D55" i="7"/>
  <c r="S3" i="7"/>
  <c r="D69" i="7"/>
  <c r="B81" i="7"/>
  <c r="C81" i="7"/>
  <c r="I40" i="7"/>
  <c r="K40" i="7"/>
  <c r="I68" i="7"/>
  <c r="C68" i="7"/>
  <c r="M68" i="7"/>
  <c r="J68" i="7"/>
  <c r="D68" i="7"/>
  <c r="N68" i="7"/>
  <c r="M80" i="7"/>
  <c r="I31" i="4"/>
  <c r="N80" i="7"/>
  <c r="O80" i="7"/>
  <c r="P80" i="7"/>
  <c r="J31" i="4"/>
  <c r="H24" i="2"/>
  <c r="J40" i="2"/>
  <c r="C41" i="2"/>
  <c r="D41" i="2"/>
  <c r="E41" i="2"/>
  <c r="C55" i="2"/>
  <c r="C69" i="2"/>
  <c r="D55" i="2"/>
  <c r="D69" i="2"/>
  <c r="B81" i="2"/>
  <c r="C81" i="2"/>
  <c r="I40" i="2"/>
  <c r="K40" i="2"/>
  <c r="I68" i="2"/>
  <c r="C68" i="2"/>
  <c r="M68" i="2"/>
  <c r="J68" i="2"/>
  <c r="D68" i="2"/>
  <c r="N68" i="2"/>
  <c r="M80" i="2"/>
  <c r="F31" i="4"/>
  <c r="N80" i="2"/>
  <c r="O80" i="2"/>
  <c r="P80" i="2"/>
  <c r="G31" i="4"/>
  <c r="I54" i="7"/>
  <c r="J54" i="7"/>
  <c r="H80" i="7"/>
  <c r="I80" i="7"/>
  <c r="J80" i="7"/>
  <c r="K80" i="7"/>
  <c r="B80" i="7"/>
  <c r="C80" i="7"/>
  <c r="D80" i="7"/>
  <c r="E80" i="7"/>
  <c r="B40" i="7"/>
  <c r="C40" i="7"/>
  <c r="E40" i="7"/>
  <c r="D37" i="7"/>
  <c r="D40" i="7"/>
  <c r="F40" i="7"/>
  <c r="C54" i="7"/>
  <c r="M54" i="7"/>
  <c r="D54" i="7"/>
  <c r="N54" i="7"/>
  <c r="H27" i="2"/>
  <c r="J43" i="2"/>
  <c r="C43" i="2"/>
  <c r="D43" i="2"/>
  <c r="E43" i="2"/>
  <c r="C57" i="2"/>
  <c r="C71" i="2"/>
  <c r="D57" i="2"/>
  <c r="D71" i="2"/>
  <c r="B83" i="2"/>
  <c r="C83" i="2"/>
  <c r="I43" i="2"/>
  <c r="K43" i="2"/>
  <c r="I57" i="2"/>
  <c r="J57" i="2"/>
  <c r="H83" i="2"/>
  <c r="I71" i="2"/>
  <c r="J71" i="2"/>
  <c r="I83" i="2"/>
  <c r="H26" i="2"/>
  <c r="J42" i="2"/>
  <c r="C42" i="2"/>
  <c r="D42" i="2"/>
  <c r="E42" i="2"/>
  <c r="C56" i="2"/>
  <c r="C70" i="2"/>
  <c r="D56" i="2"/>
  <c r="D70" i="2"/>
  <c r="B82" i="2"/>
  <c r="C82" i="2"/>
  <c r="I42" i="2"/>
  <c r="K42" i="2"/>
  <c r="I56" i="2"/>
  <c r="J56" i="2"/>
  <c r="H82" i="2"/>
  <c r="I70" i="2"/>
  <c r="J70" i="2"/>
  <c r="I82" i="2"/>
  <c r="H25" i="2"/>
  <c r="J41" i="2"/>
  <c r="I41" i="2"/>
  <c r="K41" i="2"/>
  <c r="I55" i="2"/>
  <c r="J55" i="2"/>
  <c r="H81" i="2"/>
  <c r="I69" i="2"/>
  <c r="J69" i="2"/>
  <c r="I81" i="2"/>
  <c r="I54" i="2"/>
  <c r="J54" i="2"/>
  <c r="H80" i="2"/>
  <c r="I80" i="2"/>
  <c r="I52" i="2"/>
  <c r="J52" i="2"/>
  <c r="H78" i="2"/>
  <c r="I78" i="2"/>
  <c r="I53" i="2"/>
  <c r="J53" i="2"/>
  <c r="H79" i="2"/>
  <c r="I79" i="2"/>
  <c r="C40" i="2"/>
  <c r="D40" i="2"/>
  <c r="E40" i="2"/>
  <c r="C54" i="2"/>
  <c r="M54" i="2"/>
  <c r="D54" i="2"/>
  <c r="N54" i="2"/>
  <c r="J80" i="2"/>
  <c r="K80" i="2"/>
  <c r="B80" i="2"/>
  <c r="C80" i="2"/>
  <c r="D80" i="2"/>
  <c r="E80" i="2"/>
  <c r="J24" i="7"/>
  <c r="K24" i="7"/>
  <c r="J24" i="2"/>
  <c r="K24" i="2"/>
  <c r="H28" i="4"/>
  <c r="H29" i="4"/>
  <c r="H30" i="4"/>
  <c r="H32" i="4"/>
  <c r="H33" i="4"/>
  <c r="H34" i="4"/>
  <c r="H27" i="4"/>
  <c r="E26" i="4"/>
  <c r="H26" i="4"/>
  <c r="O91" i="2"/>
  <c r="M3" i="7"/>
  <c r="G8" i="4"/>
  <c r="C35" i="7"/>
  <c r="F35" i="7"/>
  <c r="C36" i="7"/>
  <c r="D36" i="7"/>
  <c r="F36" i="7"/>
  <c r="C37" i="7"/>
  <c r="F37" i="7"/>
  <c r="C38" i="7"/>
  <c r="D38" i="7"/>
  <c r="F38" i="7"/>
  <c r="C39" i="7"/>
  <c r="D39" i="7"/>
  <c r="F39" i="7"/>
  <c r="C42" i="7"/>
  <c r="D42" i="7"/>
  <c r="F42" i="7"/>
  <c r="C43" i="7"/>
  <c r="D43" i="7"/>
  <c r="F43" i="7"/>
  <c r="C35" i="2"/>
  <c r="D35" i="2"/>
  <c r="E35" i="2"/>
  <c r="C49" i="2"/>
  <c r="C63" i="2"/>
  <c r="D49" i="2"/>
  <c r="D63" i="2"/>
  <c r="B75" i="2"/>
  <c r="C75" i="2"/>
  <c r="I35" i="2"/>
  <c r="K35" i="2"/>
  <c r="H19" i="2"/>
  <c r="J35" i="2"/>
  <c r="I63" i="2"/>
  <c r="M63" i="2"/>
  <c r="J63" i="2"/>
  <c r="N63" i="2"/>
  <c r="M75" i="2"/>
  <c r="N75" i="2"/>
  <c r="I49" i="2"/>
  <c r="J49" i="2"/>
  <c r="H75" i="2"/>
  <c r="I75" i="2"/>
  <c r="T3" i="7"/>
  <c r="T8" i="7"/>
  <c r="U8" i="7"/>
  <c r="V8" i="7"/>
  <c r="W8" i="7"/>
  <c r="T9" i="7"/>
  <c r="U9" i="7"/>
  <c r="V9" i="7"/>
  <c r="W9" i="7"/>
  <c r="T7" i="7"/>
  <c r="U7" i="7"/>
  <c r="V7" i="7"/>
  <c r="W7" i="7"/>
  <c r="U3" i="7"/>
  <c r="V3" i="7"/>
  <c r="W3" i="7"/>
  <c r="H20" i="2"/>
  <c r="J36" i="2"/>
  <c r="I36" i="2"/>
  <c r="K36" i="2"/>
  <c r="I64" i="2"/>
  <c r="M64" i="2"/>
  <c r="J64" i="2"/>
  <c r="N64" i="2"/>
  <c r="M76" i="2"/>
  <c r="N76" i="2"/>
  <c r="H21" i="2"/>
  <c r="J37" i="2"/>
  <c r="C37" i="2"/>
  <c r="D37" i="2"/>
  <c r="E37" i="2"/>
  <c r="C51" i="2"/>
  <c r="C65" i="2"/>
  <c r="D51" i="2"/>
  <c r="D65" i="2"/>
  <c r="B77" i="2"/>
  <c r="C77" i="2"/>
  <c r="I37" i="2"/>
  <c r="K37" i="2"/>
  <c r="I65" i="2"/>
  <c r="M65" i="2"/>
  <c r="J65" i="2"/>
  <c r="N65" i="2"/>
  <c r="M77" i="2"/>
  <c r="N77" i="2"/>
  <c r="N78" i="2"/>
  <c r="N79" i="2"/>
  <c r="M69" i="2"/>
  <c r="N69" i="2"/>
  <c r="M81" i="2"/>
  <c r="N81" i="2"/>
  <c r="M70" i="2"/>
  <c r="N70" i="2"/>
  <c r="M82" i="2"/>
  <c r="N82" i="2"/>
  <c r="M71" i="2"/>
  <c r="N71" i="2"/>
  <c r="M83" i="2"/>
  <c r="N83" i="2"/>
  <c r="I50" i="2"/>
  <c r="J50" i="2"/>
  <c r="H76" i="2"/>
  <c r="I76" i="2"/>
  <c r="I51" i="2"/>
  <c r="J51" i="2"/>
  <c r="H77" i="2"/>
  <c r="I77" i="2"/>
  <c r="M50" i="2"/>
  <c r="N50" i="2"/>
  <c r="M51" i="2"/>
  <c r="N51" i="2"/>
  <c r="M52" i="2"/>
  <c r="N52" i="2"/>
  <c r="M53" i="2"/>
  <c r="N53" i="2"/>
  <c r="M55" i="2"/>
  <c r="N55" i="2"/>
  <c r="M56" i="2"/>
  <c r="N56" i="2"/>
  <c r="M57" i="2"/>
  <c r="N57" i="2"/>
  <c r="M49" i="2"/>
  <c r="N49" i="2"/>
  <c r="T3" i="2"/>
  <c r="U3" i="2"/>
  <c r="V3" i="2"/>
  <c r="W3" i="2"/>
  <c r="F5" i="7"/>
  <c r="F6" i="7"/>
  <c r="I16" i="4"/>
  <c r="G5" i="2"/>
  <c r="F17" i="4"/>
  <c r="F6" i="2"/>
  <c r="G16" i="4"/>
  <c r="F18" i="4"/>
  <c r="N105" i="2"/>
  <c r="O105" i="2"/>
  <c r="Q105" i="2"/>
  <c r="C99" i="2"/>
  <c r="G99" i="2"/>
  <c r="J99" i="2"/>
  <c r="K89" i="2"/>
  <c r="F26" i="4"/>
  <c r="F27" i="4"/>
  <c r="F28" i="4"/>
  <c r="F32" i="4"/>
  <c r="F33" i="4"/>
  <c r="F34" i="4"/>
  <c r="O75" i="2"/>
  <c r="P75" i="2"/>
  <c r="G26" i="4"/>
  <c r="O76" i="2"/>
  <c r="P76" i="2"/>
  <c r="G27" i="4"/>
  <c r="O77" i="2"/>
  <c r="P77" i="2"/>
  <c r="G28" i="4"/>
  <c r="O78" i="2"/>
  <c r="P78" i="2"/>
  <c r="G29" i="4"/>
  <c r="O79" i="2"/>
  <c r="P79" i="2"/>
  <c r="G30" i="4"/>
  <c r="O81" i="2"/>
  <c r="P81" i="2"/>
  <c r="G32" i="4"/>
  <c r="O82" i="2"/>
  <c r="P82" i="2"/>
  <c r="G33" i="4"/>
  <c r="O83" i="2"/>
  <c r="P83" i="2"/>
  <c r="G34" i="4"/>
  <c r="N8" i="7"/>
  <c r="O8" i="7"/>
  <c r="N9" i="7"/>
  <c r="O9" i="7"/>
  <c r="N7" i="7"/>
  <c r="O7" i="7"/>
  <c r="F107" i="7"/>
  <c r="B107" i="7"/>
  <c r="C107" i="7"/>
  <c r="F106" i="7"/>
  <c r="B106" i="7"/>
  <c r="C106" i="7"/>
  <c r="N105" i="7"/>
  <c r="O105" i="7"/>
  <c r="C99" i="7"/>
  <c r="G99" i="7"/>
  <c r="H101" i="7"/>
  <c r="H100" i="7"/>
  <c r="E97" i="7"/>
  <c r="C97" i="7"/>
  <c r="I97" i="7"/>
  <c r="J97" i="7"/>
  <c r="E96" i="7"/>
  <c r="C96" i="7"/>
  <c r="H96" i="7"/>
  <c r="I96" i="7"/>
  <c r="J96" i="7"/>
  <c r="E95" i="7"/>
  <c r="C95" i="7"/>
  <c r="H95" i="7"/>
  <c r="I95" i="7"/>
  <c r="J95" i="7"/>
  <c r="H91" i="7"/>
  <c r="G91" i="7"/>
  <c r="A91" i="7"/>
  <c r="H90" i="7"/>
  <c r="G90" i="7"/>
  <c r="A90" i="7"/>
  <c r="G107" i="7"/>
  <c r="H107" i="7"/>
  <c r="Q105" i="7"/>
  <c r="J99" i="7"/>
  <c r="K89" i="7"/>
  <c r="B6" i="7"/>
  <c r="P105" i="7"/>
  <c r="L101" i="7"/>
  <c r="L100" i="7"/>
  <c r="L99" i="7"/>
  <c r="K99" i="7"/>
  <c r="J89" i="7"/>
  <c r="J89" i="2"/>
  <c r="R106" i="2"/>
  <c r="O101" i="2"/>
  <c r="J75" i="2"/>
  <c r="K75" i="2"/>
  <c r="D75" i="2"/>
  <c r="E75" i="2"/>
  <c r="J19" i="2"/>
  <c r="J20" i="2"/>
  <c r="K19" i="2"/>
  <c r="K20" i="2"/>
  <c r="J21" i="2"/>
  <c r="K21" i="2"/>
  <c r="J22" i="2"/>
  <c r="K22" i="2"/>
  <c r="J23" i="2"/>
  <c r="K23" i="2"/>
  <c r="J25" i="2"/>
  <c r="K25" i="2"/>
  <c r="J26" i="2"/>
  <c r="K26" i="2"/>
  <c r="J27" i="2"/>
  <c r="K27" i="2"/>
  <c r="J76" i="2"/>
  <c r="K76" i="2"/>
  <c r="D77" i="2"/>
  <c r="E77" i="2"/>
  <c r="J77" i="2"/>
  <c r="K77" i="2"/>
  <c r="D78" i="2"/>
  <c r="E78" i="2"/>
  <c r="J78" i="2"/>
  <c r="K78" i="2"/>
  <c r="D79" i="2"/>
  <c r="E79" i="2"/>
  <c r="J79" i="2"/>
  <c r="K79" i="2"/>
  <c r="D81" i="2"/>
  <c r="E81" i="2"/>
  <c r="J81" i="2"/>
  <c r="K81" i="2"/>
  <c r="D82" i="2"/>
  <c r="E82" i="2"/>
  <c r="J82" i="2"/>
  <c r="K82" i="2"/>
  <c r="D83" i="2"/>
  <c r="E83" i="2"/>
  <c r="J83" i="2"/>
  <c r="K83" i="2"/>
  <c r="A90" i="2"/>
  <c r="G90" i="2"/>
  <c r="H90" i="2"/>
  <c r="A91" i="2"/>
  <c r="G91" i="2"/>
  <c r="H91" i="2"/>
  <c r="C95" i="2"/>
  <c r="E95" i="2"/>
  <c r="H95" i="2"/>
  <c r="I95" i="2"/>
  <c r="J95" i="2"/>
  <c r="C96" i="2"/>
  <c r="E96" i="2"/>
  <c r="H96" i="2"/>
  <c r="I96" i="2"/>
  <c r="J96" i="2"/>
  <c r="C97" i="2"/>
  <c r="E97" i="2"/>
  <c r="I97" i="2"/>
  <c r="J97" i="2"/>
  <c r="K99" i="2"/>
  <c r="L99" i="2"/>
  <c r="H100" i="2"/>
  <c r="L100" i="2"/>
  <c r="H101" i="2"/>
  <c r="L101" i="2"/>
  <c r="P105" i="2"/>
  <c r="B106" i="2"/>
  <c r="C106" i="2"/>
  <c r="F106" i="2"/>
  <c r="G106" i="2"/>
  <c r="H106" i="2"/>
  <c r="B107" i="2"/>
  <c r="C107" i="2"/>
  <c r="F107" i="2"/>
  <c r="G107" i="2"/>
  <c r="H107" i="2"/>
  <c r="B35" i="7"/>
  <c r="E35" i="7"/>
  <c r="D49" i="7"/>
  <c r="D63" i="7"/>
  <c r="C49" i="7"/>
  <c r="C63" i="7"/>
  <c r="B75" i="7"/>
  <c r="C75" i="7"/>
  <c r="I35" i="7"/>
  <c r="K35" i="7"/>
  <c r="B36" i="7"/>
  <c r="E36" i="7"/>
  <c r="D50" i="7"/>
  <c r="D64" i="7"/>
  <c r="B37" i="7"/>
  <c r="E37" i="7"/>
  <c r="D51" i="7"/>
  <c r="D65" i="7"/>
  <c r="B38" i="7"/>
  <c r="E38" i="7"/>
  <c r="D52" i="7"/>
  <c r="D66" i="7"/>
  <c r="B39" i="7"/>
  <c r="E39" i="7"/>
  <c r="D53" i="7"/>
  <c r="D67" i="7"/>
  <c r="B42" i="7"/>
  <c r="E42" i="7"/>
  <c r="D56" i="7"/>
  <c r="D70" i="7"/>
  <c r="B43" i="7"/>
  <c r="E43" i="7"/>
  <c r="D57" i="7"/>
  <c r="D71" i="7"/>
  <c r="C50" i="7"/>
  <c r="C64" i="7"/>
  <c r="B76" i="7"/>
  <c r="C76" i="7"/>
  <c r="I36" i="7"/>
  <c r="K36" i="7"/>
  <c r="H20" i="7"/>
  <c r="J36" i="7"/>
  <c r="J64" i="7"/>
  <c r="N64" i="7"/>
  <c r="C51" i="7"/>
  <c r="C65" i="7"/>
  <c r="B77" i="7"/>
  <c r="C77" i="7"/>
  <c r="I37" i="7"/>
  <c r="K37" i="7"/>
  <c r="H21" i="7"/>
  <c r="J37" i="7"/>
  <c r="J65" i="7"/>
  <c r="N65" i="7"/>
  <c r="C52" i="7"/>
  <c r="C66" i="7"/>
  <c r="B78" i="7"/>
  <c r="C78" i="7"/>
  <c r="I38" i="7"/>
  <c r="K38" i="7"/>
  <c r="H22" i="7"/>
  <c r="J38" i="7"/>
  <c r="J66" i="7"/>
  <c r="N66" i="7"/>
  <c r="C53" i="7"/>
  <c r="C67" i="7"/>
  <c r="B79" i="7"/>
  <c r="C79" i="7"/>
  <c r="I39" i="7"/>
  <c r="K39" i="7"/>
  <c r="H23" i="7"/>
  <c r="J39" i="7"/>
  <c r="J67" i="7"/>
  <c r="N67" i="7"/>
  <c r="I41" i="7"/>
  <c r="K41" i="7"/>
  <c r="H25" i="7"/>
  <c r="J41" i="7"/>
  <c r="J69" i="7"/>
  <c r="N69" i="7"/>
  <c r="C56" i="7"/>
  <c r="C70" i="7"/>
  <c r="B82" i="7"/>
  <c r="C82" i="7"/>
  <c r="I42" i="7"/>
  <c r="K42" i="7"/>
  <c r="H26" i="7"/>
  <c r="J42" i="7"/>
  <c r="J70" i="7"/>
  <c r="N70" i="7"/>
  <c r="C57" i="7"/>
  <c r="C71" i="7"/>
  <c r="B83" i="7"/>
  <c r="C83" i="7"/>
  <c r="I43" i="7"/>
  <c r="K43" i="7"/>
  <c r="H27" i="7"/>
  <c r="J43" i="7"/>
  <c r="J71" i="7"/>
  <c r="N71" i="7"/>
  <c r="H19" i="7"/>
  <c r="J35" i="7"/>
  <c r="J63" i="7"/>
  <c r="N63" i="7"/>
  <c r="I50" i="7"/>
  <c r="M50" i="7"/>
  <c r="J50" i="7"/>
  <c r="N50" i="7"/>
  <c r="I51" i="7"/>
  <c r="M51" i="7"/>
  <c r="J51" i="7"/>
  <c r="N51" i="7"/>
  <c r="I52" i="7"/>
  <c r="M52" i="7"/>
  <c r="J52" i="7"/>
  <c r="N52" i="7"/>
  <c r="I53" i="7"/>
  <c r="M53" i="7"/>
  <c r="J53" i="7"/>
  <c r="N53" i="7"/>
  <c r="I55" i="7"/>
  <c r="M55" i="7"/>
  <c r="J55" i="7"/>
  <c r="N55" i="7"/>
  <c r="I56" i="7"/>
  <c r="M56" i="7"/>
  <c r="J56" i="7"/>
  <c r="N56" i="7"/>
  <c r="I57" i="7"/>
  <c r="M57" i="7"/>
  <c r="J57" i="7"/>
  <c r="N57" i="7"/>
  <c r="I49" i="7"/>
  <c r="M49" i="7"/>
  <c r="J49" i="7"/>
  <c r="N49" i="7"/>
  <c r="D75" i="7"/>
  <c r="H75" i="7"/>
  <c r="I63" i="7"/>
  <c r="I75" i="7"/>
  <c r="J75" i="7"/>
  <c r="K75" i="7"/>
  <c r="M63" i="7"/>
  <c r="M75" i="7"/>
  <c r="N75" i="7"/>
  <c r="O75" i="7"/>
  <c r="D76" i="7"/>
  <c r="E76" i="7"/>
  <c r="H76" i="7"/>
  <c r="I64" i="7"/>
  <c r="I76" i="7"/>
  <c r="J76" i="7"/>
  <c r="K76" i="7"/>
  <c r="M64" i="7"/>
  <c r="M76" i="7"/>
  <c r="N76" i="7"/>
  <c r="O76" i="7"/>
  <c r="D77" i="7"/>
  <c r="E77" i="7"/>
  <c r="H77" i="7"/>
  <c r="I65" i="7"/>
  <c r="I77" i="7"/>
  <c r="J77" i="7"/>
  <c r="K77" i="7"/>
  <c r="M65" i="7"/>
  <c r="M77" i="7"/>
  <c r="N77" i="7"/>
  <c r="O77" i="7"/>
  <c r="D78" i="7"/>
  <c r="E78" i="7"/>
  <c r="H78" i="7"/>
  <c r="I66" i="7"/>
  <c r="I78" i="7"/>
  <c r="J78" i="7"/>
  <c r="K78" i="7"/>
  <c r="M66" i="7"/>
  <c r="M78" i="7"/>
  <c r="N78" i="7"/>
  <c r="O78" i="7"/>
  <c r="D79" i="7"/>
  <c r="E79" i="7"/>
  <c r="H79" i="7"/>
  <c r="I67" i="7"/>
  <c r="I79" i="7"/>
  <c r="J79" i="7"/>
  <c r="K79" i="7"/>
  <c r="M67" i="7"/>
  <c r="M79" i="7"/>
  <c r="N79" i="7"/>
  <c r="O79" i="7"/>
  <c r="D81" i="7"/>
  <c r="E81" i="7"/>
  <c r="H81" i="7"/>
  <c r="I69" i="7"/>
  <c r="I81" i="7"/>
  <c r="J81" i="7"/>
  <c r="K81" i="7"/>
  <c r="M69" i="7"/>
  <c r="M81" i="7"/>
  <c r="N81" i="7"/>
  <c r="O81" i="7"/>
  <c r="D82" i="7"/>
  <c r="E82" i="7"/>
  <c r="H82" i="7"/>
  <c r="I70" i="7"/>
  <c r="I82" i="7"/>
  <c r="J82" i="7"/>
  <c r="K82" i="7"/>
  <c r="M70" i="7"/>
  <c r="M82" i="7"/>
  <c r="N82" i="7"/>
  <c r="O82" i="7"/>
  <c r="D83" i="7"/>
  <c r="E83" i="7"/>
  <c r="H83" i="7"/>
  <c r="I71" i="7"/>
  <c r="I83" i="7"/>
  <c r="J83" i="7"/>
  <c r="K83" i="7"/>
  <c r="M71" i="7"/>
  <c r="M83" i="7"/>
  <c r="N83" i="7"/>
  <c r="O83" i="7"/>
  <c r="E75" i="7"/>
  <c r="J18" i="4"/>
  <c r="I18" i="4"/>
  <c r="I26" i="4"/>
  <c r="I27" i="4"/>
  <c r="I28" i="4"/>
  <c r="I29" i="4"/>
  <c r="I30" i="4"/>
  <c r="I32" i="4"/>
  <c r="I33" i="4"/>
  <c r="I34" i="4"/>
  <c r="P75" i="7"/>
  <c r="J26" i="4"/>
  <c r="P76" i="7"/>
  <c r="J27" i="4"/>
  <c r="P77" i="7"/>
  <c r="J28" i="4"/>
  <c r="P78" i="7"/>
  <c r="J29" i="4"/>
  <c r="P79" i="7"/>
  <c r="J30" i="4"/>
  <c r="P81" i="7"/>
  <c r="J32" i="4"/>
  <c r="P82" i="7"/>
  <c r="J33" i="4"/>
  <c r="P83" i="7"/>
  <c r="J34" i="4"/>
  <c r="S100" i="7"/>
  <c r="S105" i="7"/>
  <c r="S90" i="7"/>
  <c r="U100" i="7"/>
  <c r="G106" i="7"/>
  <c r="H106" i="7"/>
  <c r="J27" i="7"/>
  <c r="K27" i="7"/>
  <c r="J26" i="7"/>
  <c r="K26" i="7"/>
  <c r="J25" i="7"/>
  <c r="K25" i="7"/>
  <c r="J23" i="7"/>
  <c r="K23" i="7"/>
  <c r="J22" i="7"/>
  <c r="K22" i="7"/>
  <c r="J21" i="7"/>
  <c r="K21" i="7"/>
  <c r="J20" i="7"/>
  <c r="K20" i="7"/>
  <c r="J19" i="7"/>
  <c r="K19" i="7"/>
  <c r="D14" i="7"/>
  <c r="C14" i="7"/>
  <c r="B14" i="7"/>
</calcChain>
</file>

<file path=xl/comments1.xml><?xml version="1.0" encoding="utf-8"?>
<comments xmlns="http://schemas.openxmlformats.org/spreadsheetml/2006/main">
  <authors>
    <author>Giacomo Savini</author>
  </authors>
  <commentList>
    <comment ref="A11" authorId="0">
      <text>
        <r>
          <rPr>
            <b/>
            <sz val="9"/>
            <color indexed="81"/>
            <rFont val="Verdana"/>
          </rPr>
          <t>SICA = surgically induced corneal astigmatism</t>
        </r>
        <r>
          <rPr>
            <sz val="9"/>
            <color indexed="81"/>
            <rFont val="Verdana"/>
          </rPr>
          <t xml:space="preserve">
 (= corneal astigmatism induced by the incision)</t>
        </r>
      </text>
    </comment>
  </commentList>
</comments>
</file>

<file path=xl/sharedStrings.xml><?xml version="1.0" encoding="utf-8"?>
<sst xmlns="http://schemas.openxmlformats.org/spreadsheetml/2006/main" count="409" uniqueCount="133">
  <si>
    <t>PREOPERATIVE DATA</t>
  </si>
  <si>
    <t>PREDICTED RESIDUAL REFRACTIVE ASTIGMATISM</t>
  </si>
  <si>
    <t>IOL</t>
  </si>
  <si>
    <t>AXL</t>
  </si>
  <si>
    <t>K</t>
  </si>
  <si>
    <t>diottrie</t>
  </si>
  <si>
    <t>asse</t>
  </si>
  <si>
    <t>Hoffer Q</t>
  </si>
  <si>
    <t>Holladay 1</t>
  </si>
  <si>
    <t>SRK/T</t>
  </si>
  <si>
    <t>ratio</t>
  </si>
  <si>
    <t>HofferQ</t>
  </si>
  <si>
    <t>personalized ACD</t>
  </si>
  <si>
    <t>AL</t>
  </si>
  <si>
    <t>Vertex</t>
  </si>
  <si>
    <t>Desired RX</t>
  </si>
  <si>
    <t>M</t>
  </si>
  <si>
    <t>G</t>
  </si>
  <si>
    <t xml:space="preserve">predicted ACD  </t>
  </si>
  <si>
    <t>Expected RX</t>
  </si>
  <si>
    <t xml:space="preserve">IOL Power </t>
  </si>
  <si>
    <t>SF</t>
  </si>
  <si>
    <t>Alm</t>
  </si>
  <si>
    <t>R</t>
  </si>
  <si>
    <t>Desired Rx</t>
  </si>
  <si>
    <t>AG</t>
  </si>
  <si>
    <t xml:space="preserve">ACD  </t>
  </si>
  <si>
    <t>Expected Rx</t>
  </si>
  <si>
    <t>ELP</t>
  </si>
  <si>
    <t>L</t>
  </si>
  <si>
    <t>A-Constant</t>
  </si>
  <si>
    <t>ACD const</t>
  </si>
  <si>
    <t>radius</t>
  </si>
  <si>
    <t>LCOR</t>
  </si>
  <si>
    <t>Cw</t>
  </si>
  <si>
    <t>H</t>
  </si>
  <si>
    <t>ACDest</t>
  </si>
  <si>
    <t>V</t>
  </si>
  <si>
    <t>na</t>
  </si>
  <si>
    <t>nc</t>
  </si>
  <si>
    <t>ncm1</t>
  </si>
  <si>
    <t>Rethick</t>
  </si>
  <si>
    <t>LOPT</t>
  </si>
  <si>
    <t>IOL emme</t>
  </si>
  <si>
    <t>Target Rx</t>
  </si>
  <si>
    <t>T3</t>
  </si>
  <si>
    <t>T4</t>
  </si>
  <si>
    <t>T5</t>
  </si>
  <si>
    <t>T6</t>
  </si>
  <si>
    <t>T7</t>
  </si>
  <si>
    <t>T8</t>
  </si>
  <si>
    <t>T9</t>
  </si>
  <si>
    <t>Surgeon</t>
  </si>
  <si>
    <t>Date of surgery</t>
  </si>
  <si>
    <t>Implanted IOL</t>
  </si>
  <si>
    <t>Corneal Astigmatism</t>
  </si>
  <si>
    <t>K1 (steep)</t>
  </si>
  <si>
    <t>K2 (flat)</t>
  </si>
  <si>
    <t>K average</t>
  </si>
  <si>
    <t>Residual astigmatism</t>
  </si>
  <si>
    <t>IOL plane</t>
  </si>
  <si>
    <t>Corneal plane</t>
  </si>
  <si>
    <t xml:space="preserve"> Required IOL Astigmatism</t>
  </si>
  <si>
    <t>mean</t>
  </si>
  <si>
    <t>K1</t>
  </si>
  <si>
    <t>K2</t>
  </si>
  <si>
    <t>Axis (°)</t>
  </si>
  <si>
    <t>Cyl</t>
  </si>
  <si>
    <t>Axis [rad]</t>
  </si>
  <si>
    <t>Axis</t>
  </si>
  <si>
    <t>Alcon Model</t>
  </si>
  <si>
    <t>Cylinder</t>
  </si>
  <si>
    <t>Diopters</t>
  </si>
  <si>
    <t>Conversion from IOL to cornea</t>
  </si>
  <si>
    <t>Eye (RE/LE)</t>
  </si>
  <si>
    <t>Formula Costants</t>
  </si>
  <si>
    <t>Target astigmatism</t>
  </si>
  <si>
    <t>T2</t>
  </si>
  <si>
    <t>D</t>
  </si>
  <si>
    <t>Pentacam</t>
  </si>
  <si>
    <t>Axial length</t>
  </si>
  <si>
    <t>Average</t>
  </si>
  <si>
    <t>Corneal astigmatism</t>
  </si>
  <si>
    <t>Keratometric Astigmatism</t>
  </si>
  <si>
    <t>Optimized KA</t>
  </si>
  <si>
    <t>Magnitude</t>
  </si>
  <si>
    <t>KA</t>
  </si>
  <si>
    <t>SICA</t>
  </si>
  <si>
    <r>
      <t xml:space="preserve">WITHOUT </t>
    </r>
    <r>
      <rPr>
        <sz val="10"/>
        <rFont val="Verdana"/>
      </rPr>
      <t>SICA</t>
    </r>
  </si>
  <si>
    <r>
      <t>WITH S</t>
    </r>
    <r>
      <rPr>
        <sz val="10"/>
        <rFont val="Verdana"/>
      </rPr>
      <t>ICA</t>
    </r>
  </si>
  <si>
    <t>CALCULATED DATA</t>
  </si>
  <si>
    <t xml:space="preserve">KP(Φ) </t>
  </si>
  <si>
    <t xml:space="preserve">KP(Φ+45) </t>
  </si>
  <si>
    <t>TCA</t>
  </si>
  <si>
    <r>
      <rPr>
        <sz val="10"/>
        <rFont val="Verdana"/>
      </rPr>
      <t>Optimized KA</t>
    </r>
    <r>
      <rPr>
        <sz val="10"/>
        <rFont val="Verdana"/>
      </rPr>
      <t xml:space="preserve"> + IOL</t>
    </r>
  </si>
  <si>
    <r>
      <rPr>
        <sz val="10"/>
        <rFont val="Verdana"/>
      </rPr>
      <t>TCA</t>
    </r>
    <r>
      <rPr>
        <sz val="10"/>
        <rFont val="Verdana"/>
      </rPr>
      <t xml:space="preserve"> + IOL</t>
    </r>
  </si>
  <si>
    <t>Optimized KA + SICA</t>
  </si>
  <si>
    <t>Optimized KA + SICA + IOL</t>
  </si>
  <si>
    <r>
      <rPr>
        <sz val="10"/>
        <rFont val="Verdana"/>
      </rPr>
      <t>TC</t>
    </r>
    <r>
      <rPr>
        <sz val="10"/>
        <rFont val="Verdana"/>
      </rPr>
      <t xml:space="preserve">A + </t>
    </r>
    <r>
      <rPr>
        <sz val="10"/>
        <rFont val="Verdana"/>
      </rPr>
      <t>SICA</t>
    </r>
  </si>
  <si>
    <r>
      <rPr>
        <sz val="10"/>
        <rFont val="Verdana"/>
      </rPr>
      <t>TCA</t>
    </r>
    <r>
      <rPr>
        <sz val="10"/>
        <rFont val="Verdana"/>
      </rPr>
      <t xml:space="preserve"> + </t>
    </r>
    <r>
      <rPr>
        <sz val="10"/>
        <rFont val="Verdana"/>
      </rPr>
      <t>SICA</t>
    </r>
    <r>
      <rPr>
        <sz val="10"/>
        <rFont val="Verdana"/>
      </rPr>
      <t xml:space="preserve"> + IOL</t>
    </r>
  </si>
  <si>
    <t>TCA + SICA</t>
  </si>
  <si>
    <r>
      <rPr>
        <sz val="10"/>
        <rFont val="Verdana"/>
      </rPr>
      <t>TC</t>
    </r>
    <r>
      <rPr>
        <sz val="10"/>
        <rFont val="Verdana"/>
      </rPr>
      <t xml:space="preserve">A + </t>
    </r>
    <r>
      <rPr>
        <sz val="10"/>
        <rFont val="Verdana"/>
      </rPr>
      <t>SICA</t>
    </r>
    <r>
      <rPr>
        <sz val="10"/>
        <rFont val="Verdana"/>
      </rPr>
      <t xml:space="preserve"> + IOL</t>
    </r>
  </si>
  <si>
    <r>
      <t>WITH S</t>
    </r>
    <r>
      <rPr>
        <sz val="10"/>
        <rFont val="Verdana"/>
      </rPr>
      <t>ICA</t>
    </r>
  </si>
  <si>
    <r>
      <t>WITHOUT S</t>
    </r>
    <r>
      <rPr>
        <sz val="10"/>
        <rFont val="Verdana"/>
      </rPr>
      <t>ICA</t>
    </r>
  </si>
  <si>
    <t>Patient name</t>
  </si>
  <si>
    <t>Savini</t>
  </si>
  <si>
    <t>RE</t>
  </si>
  <si>
    <t>Scheimpflug Total Corneal Astigmatism</t>
  </si>
  <si>
    <t>Meridian</t>
  </si>
  <si>
    <t>Test</t>
  </si>
  <si>
    <t>DISCLAIMER</t>
  </si>
  <si>
    <t xml:space="preserve">The information and/or materials on this site are provided without warranty of any kind, express or implied. </t>
  </si>
  <si>
    <t>Incision SICA</t>
  </si>
  <si>
    <t>Incision meridian</t>
  </si>
  <si>
    <t xml:space="preserve">Dr. Kristian Naeser and Dr. Giacomo Savini make no warranty that the calculator is error free and are not liable for damages of any kind, </t>
  </si>
  <si>
    <t>whether indirect or consequential, arising from the use of information supplied herein, or for any errors or omissions.</t>
  </si>
  <si>
    <r>
      <t xml:space="preserve">Average of 3 </t>
    </r>
    <r>
      <rPr>
        <sz val="14"/>
        <color rgb="FFFF0000"/>
        <rFont val="Verdana"/>
      </rPr>
      <t>preoperative</t>
    </r>
    <r>
      <rPr>
        <sz val="14"/>
        <rFont val="Verdana"/>
      </rPr>
      <t xml:space="preserve"> measurements by Scheimpflug</t>
    </r>
  </si>
  <si>
    <t>Measurement 1</t>
  </si>
  <si>
    <t>Measurement 2</t>
  </si>
  <si>
    <t>Measurement 3</t>
  </si>
  <si>
    <t>SOURCES</t>
  </si>
  <si>
    <t>Savini G, Naeser K, et al. Optimized keratometry and total corneal astigmatism for toric intraocular lens calculation. JCRS 2017;43:1140-1148</t>
  </si>
  <si>
    <t>Savini G, Naeser K. An analysis of the factors influencing the residual refractive astigmatism after cataract surgery with toric intraocular lenses. IOVS 2015;56:827-835</t>
  </si>
  <si>
    <t>IOL alignment meridian</t>
  </si>
  <si>
    <t>Enter K1 and K2 readings (n = 1,3375)</t>
  </si>
  <si>
    <t>Enter 3 TCA readings</t>
  </si>
  <si>
    <t>AMO</t>
  </si>
  <si>
    <t>pACD</t>
  </si>
  <si>
    <t>Surgeon Factor</t>
  </si>
  <si>
    <t>A-constant</t>
  </si>
  <si>
    <t>Steep meridian</t>
  </si>
  <si>
    <t>Naeser/Savini Calculator</t>
  </si>
  <si>
    <t>Version 1.0.0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</si>
</sst>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0"/>
    <numFmt numFmtId="167" formatCode="0.0000"/>
    <numFmt numFmtId="168" formatCode="0.000000"/>
  </numFmts>
  <fonts count="43" x14ac:knownFonts="1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sz val="10"/>
      <color indexed="9"/>
      <name val="Verdana"/>
    </font>
    <font>
      <sz val="14"/>
      <name val="Verdana"/>
    </font>
    <font>
      <sz val="14"/>
      <name val="Arial"/>
    </font>
    <font>
      <sz val="12"/>
      <name val="Verdana"/>
    </font>
    <font>
      <sz val="14"/>
      <color indexed="9"/>
      <name val="Verdana"/>
    </font>
    <font>
      <sz val="10"/>
      <color indexed="22"/>
      <name val="Verdana"/>
    </font>
    <font>
      <sz val="10"/>
      <color indexed="13"/>
      <name val="Verdana"/>
    </font>
    <font>
      <sz val="10"/>
      <color indexed="40"/>
      <name val="Verdana"/>
    </font>
    <font>
      <sz val="14"/>
      <color indexed="9"/>
      <name val="Arial"/>
    </font>
    <font>
      <sz val="10"/>
      <color indexed="10"/>
      <name val="Verdana"/>
    </font>
    <font>
      <sz val="10"/>
      <color indexed="23"/>
      <name val="Verdana"/>
    </font>
    <font>
      <sz val="12"/>
      <color indexed="23"/>
      <name val="Verdana"/>
    </font>
    <font>
      <sz val="14"/>
      <color indexed="10"/>
      <name val="Verdana"/>
    </font>
    <font>
      <sz val="12"/>
      <color indexed="10"/>
      <name val="Verdana"/>
    </font>
    <font>
      <sz val="9"/>
      <name val="Verdana"/>
    </font>
    <font>
      <sz val="9"/>
      <name val="Lucida Grande"/>
    </font>
    <font>
      <sz val="10"/>
      <name val="Lucida Grande"/>
    </font>
    <font>
      <sz val="10"/>
      <name val="Verdana"/>
    </font>
    <font>
      <sz val="10"/>
      <color indexed="44"/>
      <name val="Verdana"/>
    </font>
    <font>
      <sz val="9"/>
      <color indexed="9"/>
      <name val="Verdana"/>
    </font>
    <font>
      <sz val="11"/>
      <name val="Verdana"/>
    </font>
    <font>
      <sz val="10"/>
      <color indexed="9"/>
      <name val="Verdana"/>
    </font>
    <font>
      <sz val="9"/>
      <color indexed="9"/>
      <name val="Verdana"/>
    </font>
    <font>
      <u/>
      <sz val="10"/>
      <color indexed="12"/>
      <name val="Verdana"/>
    </font>
    <font>
      <u/>
      <sz val="10"/>
      <color indexed="20"/>
      <name val="Verdana"/>
    </font>
    <font>
      <sz val="10"/>
      <color indexed="9"/>
      <name val="Verdana"/>
    </font>
    <font>
      <sz val="10"/>
      <name val="Arial"/>
    </font>
    <font>
      <sz val="10"/>
      <color indexed="10"/>
      <name val="Verdana"/>
    </font>
    <font>
      <sz val="16"/>
      <color indexed="10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sz val="10"/>
      <color rgb="FFFFFFFF"/>
      <name val="Verdana"/>
    </font>
    <font>
      <sz val="9"/>
      <color rgb="FFFFFFFF"/>
      <name val="Verdana"/>
    </font>
    <font>
      <sz val="14"/>
      <color rgb="FFFF0000"/>
      <name val="Verdana"/>
    </font>
    <font>
      <sz val="9"/>
      <color indexed="81"/>
      <name val="Verdana"/>
    </font>
    <font>
      <b/>
      <sz val="9"/>
      <color indexed="81"/>
      <name val="Verdana"/>
    </font>
    <font>
      <sz val="16"/>
      <color theme="0"/>
      <name val="Verdana"/>
    </font>
    <font>
      <sz val="10"/>
      <color theme="0"/>
      <name val="Verdana"/>
    </font>
    <font>
      <sz val="20"/>
      <name val="Verdana"/>
    </font>
  </fonts>
  <fills count="2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7FFB4"/>
        <bgColor indexed="64"/>
      </patternFill>
    </fill>
    <fill>
      <patternFill patternType="solid">
        <fgColor rgb="FFFFB887"/>
        <bgColor indexed="64"/>
      </patternFill>
    </fill>
    <fill>
      <patternFill patternType="solid">
        <fgColor rgb="FF993366"/>
        <bgColor rgb="FF000000"/>
      </patternFill>
    </fill>
    <fill>
      <patternFill patternType="solid">
        <fgColor rgb="FF00CCFF"/>
        <bgColor rgb="FF000000"/>
      </patternFill>
    </fill>
    <fill>
      <patternFill patternType="solid">
        <fgColor rgb="FF0000FF"/>
        <bgColor rgb="FF000000"/>
      </patternFill>
    </fill>
  </fills>
  <borders count="5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39">
    <xf numFmtId="0" fontId="0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436">
    <xf numFmtId="0" fontId="0" fillId="0" borderId="0" xfId="0"/>
    <xf numFmtId="0" fontId="2" fillId="0" borderId="1" xfId="0" applyFont="1" applyBorder="1" applyAlignment="1"/>
    <xf numFmtId="0" fontId="4" fillId="0" borderId="0" xfId="0" applyFont="1" applyFill="1"/>
    <xf numFmtId="2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2" fillId="0" borderId="0" xfId="0" applyFont="1" applyFill="1"/>
    <xf numFmtId="0" fontId="4" fillId="2" borderId="2" xfId="0" applyFont="1" applyFill="1" applyBorder="1" applyAlignment="1">
      <alignment horizontal="center" wrapText="1" shrinkToFit="1"/>
    </xf>
    <xf numFmtId="0" fontId="4" fillId="2" borderId="0" xfId="0" applyFont="1" applyFill="1" applyBorder="1" applyAlignment="1">
      <alignment horizontal="center" wrapText="1" shrinkToFit="1"/>
    </xf>
    <xf numFmtId="0" fontId="4" fillId="2" borderId="3" xfId="0" applyFont="1" applyFill="1" applyBorder="1" applyAlignment="1">
      <alignment horizontal="center" wrapText="1" shrinkToFit="1"/>
    </xf>
    <xf numFmtId="0" fontId="2" fillId="0" borderId="0" xfId="0" applyFont="1" applyFill="1" applyAlignment="1">
      <alignment wrapText="1" shrinkToFit="1"/>
    </xf>
    <xf numFmtId="2" fontId="4" fillId="2" borderId="2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2" fontId="9" fillId="2" borderId="0" xfId="0" applyNumberFormat="1" applyFont="1" applyFill="1" applyBorder="1" applyAlignment="1">
      <alignment horizontal="center"/>
    </xf>
    <xf numFmtId="0" fontId="0" fillId="0" borderId="0" xfId="0" applyFill="1"/>
    <xf numFmtId="0" fontId="4" fillId="3" borderId="0" xfId="0" applyFont="1" applyFill="1" applyBorder="1" applyAlignment="1">
      <alignment horizontal="center" wrapText="1" shrinkToFit="1"/>
    </xf>
    <xf numFmtId="0" fontId="4" fillId="3" borderId="0" xfId="0" applyFont="1" applyFill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0" fontId="4" fillId="3" borderId="0" xfId="0" quotePrefix="1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center"/>
    </xf>
    <xf numFmtId="2" fontId="11" fillId="3" borderId="0" xfId="0" applyNumberFormat="1" applyFont="1" applyFill="1" applyBorder="1" applyAlignment="1">
      <alignment horizontal="center"/>
    </xf>
    <xf numFmtId="0" fontId="11" fillId="3" borderId="0" xfId="0" quotePrefix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5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2" fontId="4" fillId="4" borderId="0" xfId="0" applyNumberFormat="1" applyFont="1" applyFill="1" applyBorder="1" applyAlignment="1">
      <alignment horizontal="center"/>
    </xf>
    <xf numFmtId="164" fontId="4" fillId="4" borderId="0" xfId="0" applyNumberFormat="1" applyFont="1" applyFill="1" applyBorder="1" applyAlignment="1">
      <alignment horizontal="center"/>
    </xf>
    <xf numFmtId="165" fontId="4" fillId="4" borderId="0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2" fontId="13" fillId="4" borderId="0" xfId="0" applyNumberFormat="1" applyFont="1" applyFill="1" applyBorder="1" applyAlignment="1">
      <alignment horizontal="center"/>
    </xf>
    <xf numFmtId="164" fontId="13" fillId="4" borderId="0" xfId="0" applyNumberFormat="1" applyFont="1" applyFill="1" applyBorder="1" applyAlignment="1">
      <alignment horizontal="center"/>
    </xf>
    <xf numFmtId="165" fontId="13" fillId="4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164" fontId="4" fillId="4" borderId="6" xfId="0" applyNumberFormat="1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165" fontId="4" fillId="4" borderId="4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66" fontId="4" fillId="4" borderId="4" xfId="0" applyNumberFormat="1" applyFont="1" applyFill="1" applyBorder="1" applyAlignment="1">
      <alignment horizontal="center"/>
    </xf>
    <xf numFmtId="0" fontId="0" fillId="0" borderId="0" xfId="0" applyAlignment="1"/>
    <xf numFmtId="2" fontId="10" fillId="2" borderId="0" xfId="0" applyNumberFormat="1" applyFont="1" applyFill="1" applyBorder="1" applyAlignment="1">
      <alignment horizontal="center"/>
    </xf>
    <xf numFmtId="0" fontId="0" fillId="0" borderId="0" xfId="0" applyBorder="1"/>
    <xf numFmtId="1" fontId="8" fillId="2" borderId="7" xfId="0" applyNumberFormat="1" applyFont="1" applyFill="1" applyBorder="1" applyAlignment="1">
      <alignment horizontal="center"/>
    </xf>
    <xf numFmtId="0" fontId="6" fillId="2" borderId="8" xfId="0" applyFont="1" applyFill="1" applyBorder="1" applyAlignment="1"/>
    <xf numFmtId="0" fontId="6" fillId="2" borderId="9" xfId="0" applyFont="1" applyFill="1" applyBorder="1" applyAlignment="1"/>
    <xf numFmtId="2" fontId="8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2" fontId="8" fillId="4" borderId="2" xfId="0" applyNumberFormat="1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2" fillId="4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1" xfId="0" applyFont="1" applyFill="1" applyBorder="1" applyAlignment="1">
      <alignment horizontal="center" wrapText="1" shrinkToFit="1"/>
    </xf>
    <xf numFmtId="1" fontId="7" fillId="0" borderId="11" xfId="0" applyNumberFormat="1" applyFont="1" applyFill="1" applyBorder="1" applyAlignment="1">
      <alignment horizontal="center"/>
    </xf>
    <xf numFmtId="0" fontId="2" fillId="0" borderId="12" xfId="0" applyFont="1" applyBorder="1"/>
    <xf numFmtId="2" fontId="7" fillId="0" borderId="13" xfId="0" applyNumberFormat="1" applyFont="1" applyFill="1" applyBorder="1" applyAlignment="1">
      <alignment horizontal="center"/>
    </xf>
    <xf numFmtId="1" fontId="7" fillId="0" borderId="13" xfId="0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left"/>
    </xf>
    <xf numFmtId="2" fontId="7" fillId="0" borderId="14" xfId="0" applyNumberFormat="1" applyFont="1" applyFill="1" applyBorder="1" applyAlignment="1">
      <alignment horizontal="left"/>
    </xf>
    <xf numFmtId="0" fontId="7" fillId="0" borderId="11" xfId="0" applyFont="1" applyBorder="1"/>
    <xf numFmtId="0" fontId="0" fillId="5" borderId="0" xfId="0" applyFill="1" applyBorder="1"/>
    <xf numFmtId="0" fontId="0" fillId="5" borderId="0" xfId="0" applyFill="1"/>
    <xf numFmtId="0" fontId="7" fillId="0" borderId="11" xfId="0" applyFont="1" applyFill="1" applyBorder="1"/>
    <xf numFmtId="0" fontId="7" fillId="5" borderId="0" xfId="0" applyFont="1" applyFill="1" applyBorder="1"/>
    <xf numFmtId="0" fontId="2" fillId="5" borderId="0" xfId="0" applyFont="1" applyFill="1" applyBorder="1"/>
    <xf numFmtId="2" fontId="2" fillId="5" borderId="0" xfId="0" applyNumberFormat="1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0" fontId="2" fillId="5" borderId="0" xfId="0" applyFont="1" applyFill="1"/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2" fontId="15" fillId="0" borderId="18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/>
    </xf>
    <xf numFmtId="2" fontId="15" fillId="0" borderId="19" xfId="0" applyNumberFormat="1" applyFont="1" applyFill="1" applyBorder="1" applyAlignment="1">
      <alignment horizontal="center"/>
    </xf>
    <xf numFmtId="1" fontId="8" fillId="2" borderId="8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23" xfId="0" applyFont="1" applyBorder="1"/>
    <xf numFmtId="0" fontId="7" fillId="0" borderId="14" xfId="0" applyFont="1" applyBorder="1"/>
    <xf numFmtId="0" fontId="5" fillId="0" borderId="24" xfId="0" applyFont="1" applyBorder="1" applyAlignment="1">
      <alignment horizontal="center"/>
    </xf>
    <xf numFmtId="2" fontId="17" fillId="0" borderId="11" xfId="0" applyNumberFormat="1" applyFont="1" applyFill="1" applyBorder="1" applyAlignment="1">
      <alignment horizontal="center"/>
    </xf>
    <xf numFmtId="0" fontId="16" fillId="0" borderId="25" xfId="0" applyFont="1" applyFill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/>
    </xf>
    <xf numFmtId="0" fontId="0" fillId="6" borderId="0" xfId="0" applyFill="1" applyBorder="1" applyAlignment="1">
      <alignment horizontal="center" wrapText="1"/>
    </xf>
    <xf numFmtId="0" fontId="0" fillId="6" borderId="17" xfId="0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7" borderId="0" xfId="0" applyFont="1" applyFill="1" applyBorder="1"/>
    <xf numFmtId="2" fontId="0" fillId="0" borderId="0" xfId="0" applyNumberFormat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1" fontId="18" fillId="0" borderId="0" xfId="0" applyNumberFormat="1" applyFont="1" applyFill="1" applyBorder="1"/>
    <xf numFmtId="0" fontId="2" fillId="8" borderId="11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/>
    <xf numFmtId="2" fontId="2" fillId="8" borderId="11" xfId="0" applyNumberFormat="1" applyFont="1" applyFill="1" applyBorder="1" applyAlignment="1">
      <alignment horizontal="center"/>
    </xf>
    <xf numFmtId="2" fontId="20" fillId="8" borderId="11" xfId="0" applyNumberFormat="1" applyFont="1" applyFill="1" applyBorder="1" applyAlignment="1">
      <alignment horizontal="center"/>
    </xf>
    <xf numFmtId="0" fontId="21" fillId="7" borderId="11" xfId="0" applyFont="1" applyFill="1" applyBorder="1" applyAlignment="1">
      <alignment horizontal="center"/>
    </xf>
    <xf numFmtId="2" fontId="21" fillId="7" borderId="11" xfId="0" applyNumberFormat="1" applyFont="1" applyFill="1" applyBorder="1" applyAlignment="1">
      <alignment horizontal="center"/>
    </xf>
    <xf numFmtId="2" fontId="20" fillId="7" borderId="11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/>
    <xf numFmtId="2" fontId="21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0" fontId="21" fillId="8" borderId="11" xfId="0" applyFont="1" applyFill="1" applyBorder="1" applyAlignment="1">
      <alignment horizontal="center"/>
    </xf>
    <xf numFmtId="0" fontId="21" fillId="9" borderId="11" xfId="0" applyFont="1" applyFill="1" applyBorder="1" applyAlignment="1">
      <alignment horizontal="center"/>
    </xf>
    <xf numFmtId="2" fontId="21" fillId="8" borderId="11" xfId="0" applyNumberFormat="1" applyFont="1" applyFill="1" applyBorder="1" applyAlignment="1">
      <alignment horizontal="center"/>
    </xf>
    <xf numFmtId="2" fontId="21" fillId="9" borderId="11" xfId="0" applyNumberFormat="1" applyFont="1" applyFill="1" applyBorder="1" applyAlignment="1">
      <alignment horizontal="center"/>
    </xf>
    <xf numFmtId="0" fontId="21" fillId="8" borderId="11" xfId="0" applyFont="1" applyFill="1" applyBorder="1" applyAlignment="1">
      <alignment horizontal="center" wrapText="1"/>
    </xf>
    <xf numFmtId="0" fontId="21" fillId="7" borderId="11" xfId="0" applyFont="1" applyFill="1" applyBorder="1" applyAlignment="1">
      <alignment horizontal="center" wrapText="1"/>
    </xf>
    <xf numFmtId="0" fontId="21" fillId="9" borderId="11" xfId="0" applyFont="1" applyFill="1" applyBorder="1" applyAlignment="1">
      <alignment horizontal="center" wrapText="1"/>
    </xf>
    <xf numFmtId="1" fontId="2" fillId="8" borderId="11" xfId="0" applyNumberFormat="1" applyFont="1" applyFill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2" fontId="5" fillId="0" borderId="17" xfId="0" applyNumberFormat="1" applyFont="1" applyFill="1" applyBorder="1" applyAlignment="1">
      <alignment horizontal="center"/>
    </xf>
    <xf numFmtId="2" fontId="5" fillId="0" borderId="19" xfId="0" applyNumberFormat="1" applyFont="1" applyFill="1" applyBorder="1" applyAlignment="1">
      <alignment horizontal="center"/>
    </xf>
    <xf numFmtId="2" fontId="2" fillId="6" borderId="16" xfId="0" applyNumberFormat="1" applyFont="1" applyFill="1" applyBorder="1" applyAlignment="1">
      <alignment horizontal="center" wrapText="1"/>
    </xf>
    <xf numFmtId="1" fontId="21" fillId="7" borderId="11" xfId="0" applyNumberFormat="1" applyFont="1" applyFill="1" applyBorder="1" applyAlignment="1">
      <alignment horizontal="center"/>
    </xf>
    <xf numFmtId="0" fontId="22" fillId="8" borderId="0" xfId="0" applyFont="1" applyFill="1" applyBorder="1"/>
    <xf numFmtId="1" fontId="14" fillId="8" borderId="0" xfId="0" applyNumberFormat="1" applyFont="1" applyFill="1" applyBorder="1" applyAlignment="1">
      <alignment horizontal="center"/>
    </xf>
    <xf numFmtId="1" fontId="21" fillId="8" borderId="11" xfId="0" applyNumberFormat="1" applyFont="1" applyFill="1" applyBorder="1" applyAlignment="1">
      <alignment horizontal="center"/>
    </xf>
    <xf numFmtId="1" fontId="21" fillId="9" borderId="11" xfId="0" applyNumberFormat="1" applyFont="1" applyFill="1" applyBorder="1" applyAlignment="1">
      <alignment horizontal="center"/>
    </xf>
    <xf numFmtId="0" fontId="14" fillId="7" borderId="0" xfId="0" applyFont="1" applyFill="1" applyBorder="1"/>
    <xf numFmtId="1" fontId="14" fillId="7" borderId="0" xfId="0" applyNumberFormat="1" applyFont="1" applyFill="1" applyBorder="1" applyAlignment="1">
      <alignment horizontal="center"/>
    </xf>
    <xf numFmtId="0" fontId="14" fillId="9" borderId="0" xfId="0" applyFont="1" applyFill="1" applyBorder="1"/>
    <xf numFmtId="1" fontId="14" fillId="9" borderId="0" xfId="0" applyNumberFormat="1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2" fontId="2" fillId="6" borderId="26" xfId="0" applyNumberFormat="1" applyFont="1" applyFill="1" applyBorder="1" applyAlignment="1">
      <alignment horizontal="center"/>
    </xf>
    <xf numFmtId="2" fontId="2" fillId="6" borderId="10" xfId="0" applyNumberFormat="1" applyFont="1" applyFill="1" applyBorder="1" applyAlignment="1">
      <alignment horizontal="left"/>
    </xf>
    <xf numFmtId="0" fontId="14" fillId="7" borderId="2" xfId="0" applyFont="1" applyFill="1" applyBorder="1"/>
    <xf numFmtId="0" fontId="0" fillId="0" borderId="0" xfId="0" applyFill="1" applyBorder="1"/>
    <xf numFmtId="1" fontId="2" fillId="0" borderId="0" xfId="0" applyNumberFormat="1" applyFont="1" applyFill="1"/>
    <xf numFmtId="0" fontId="2" fillId="10" borderId="0" xfId="0" applyFont="1" applyFill="1"/>
    <xf numFmtId="2" fontId="4" fillId="10" borderId="29" xfId="0" applyNumberFormat="1" applyFont="1" applyFill="1" applyBorder="1" applyAlignment="1">
      <alignment horizontal="center"/>
    </xf>
    <xf numFmtId="0" fontId="4" fillId="10" borderId="20" xfId="0" applyFont="1" applyFill="1" applyBorder="1" applyAlignment="1">
      <alignment horizontal="center" wrapText="1"/>
    </xf>
    <xf numFmtId="0" fontId="18" fillId="7" borderId="30" xfId="0" applyFont="1" applyFill="1" applyBorder="1" applyAlignment="1">
      <alignment horizontal="center" wrapText="1"/>
    </xf>
    <xf numFmtId="0" fontId="18" fillId="7" borderId="30" xfId="0" applyFont="1" applyFill="1" applyBorder="1" applyAlignment="1">
      <alignment horizontal="center"/>
    </xf>
    <xf numFmtId="0" fontId="18" fillId="7" borderId="30" xfId="0" applyFont="1" applyFill="1" applyBorder="1"/>
    <xf numFmtId="2" fontId="18" fillId="0" borderId="8" xfId="0" applyNumberFormat="1" applyFont="1" applyFill="1" applyBorder="1" applyAlignment="1">
      <alignment horizontal="center"/>
    </xf>
    <xf numFmtId="1" fontId="18" fillId="0" borderId="8" xfId="0" applyNumberFormat="1" applyFont="1" applyFill="1" applyBorder="1"/>
    <xf numFmtId="1" fontId="18" fillId="0" borderId="8" xfId="0" applyNumberFormat="1" applyFont="1" applyFill="1" applyBorder="1" applyAlignment="1">
      <alignment horizontal="center"/>
    </xf>
    <xf numFmtId="0" fontId="23" fillId="10" borderId="29" xfId="0" applyFont="1" applyFill="1" applyBorder="1" applyAlignment="1">
      <alignment horizontal="center" wrapText="1"/>
    </xf>
    <xf numFmtId="0" fontId="23" fillId="10" borderId="28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2" fontId="18" fillId="0" borderId="17" xfId="0" applyNumberFormat="1" applyFont="1" applyFill="1" applyBorder="1" applyAlignment="1">
      <alignment horizontal="center"/>
    </xf>
    <xf numFmtId="0" fontId="0" fillId="0" borderId="16" xfId="0" applyFill="1" applyBorder="1"/>
    <xf numFmtId="0" fontId="0" fillId="0" borderId="16" xfId="0" applyBorder="1"/>
    <xf numFmtId="0" fontId="0" fillId="0" borderId="18" xfId="0" applyFill="1" applyBorder="1"/>
    <xf numFmtId="2" fontId="21" fillId="0" borderId="4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1" fontId="21" fillId="0" borderId="4" xfId="0" applyNumberFormat="1" applyFont="1" applyFill="1" applyBorder="1" applyAlignment="1">
      <alignment horizontal="center"/>
    </xf>
    <xf numFmtId="2" fontId="18" fillId="0" borderId="19" xfId="0" applyNumberFormat="1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7" borderId="11" xfId="0" applyFont="1" applyFill="1" applyBorder="1" applyAlignment="1">
      <alignment horizontal="center"/>
    </xf>
    <xf numFmtId="2" fontId="0" fillId="0" borderId="0" xfId="0" applyNumberFormat="1"/>
    <xf numFmtId="0" fontId="0" fillId="0" borderId="0" xfId="0" applyFont="1" applyFill="1"/>
    <xf numFmtId="0" fontId="0" fillId="0" borderId="0" xfId="0" applyFont="1" applyFill="1" applyBorder="1"/>
    <xf numFmtId="2" fontId="0" fillId="0" borderId="0" xfId="0" applyNumberFormat="1" applyFont="1" applyFill="1" applyBorder="1"/>
    <xf numFmtId="0" fontId="2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4" xfId="0" applyBorder="1"/>
    <xf numFmtId="0" fontId="4" fillId="0" borderId="4" xfId="0" applyFont="1" applyFill="1" applyBorder="1"/>
    <xf numFmtId="0" fontId="24" fillId="0" borderId="4" xfId="0" applyFont="1" applyFill="1" applyBorder="1"/>
    <xf numFmtId="0" fontId="0" fillId="0" borderId="19" xfId="0" applyBorder="1"/>
    <xf numFmtId="0" fontId="2" fillId="10" borderId="0" xfId="0" applyFont="1" applyFill="1" applyBorder="1"/>
    <xf numFmtId="0" fontId="18" fillId="7" borderId="39" xfId="0" applyFont="1" applyFill="1" applyBorder="1" applyAlignment="1">
      <alignment horizontal="center" wrapText="1"/>
    </xf>
    <xf numFmtId="0" fontId="4" fillId="0" borderId="0" xfId="0" applyFont="1" applyFill="1" applyProtection="1">
      <protection locked="0"/>
    </xf>
    <xf numFmtId="0" fontId="21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2" fontId="21" fillId="0" borderId="0" xfId="0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21" fillId="0" borderId="0" xfId="0" applyFont="1" applyBorder="1" applyProtection="1">
      <protection locked="0"/>
    </xf>
    <xf numFmtId="0" fontId="21" fillId="0" borderId="11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2" fontId="5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2" fontId="21" fillId="0" borderId="11" xfId="0" applyNumberFormat="1" applyFont="1" applyFill="1" applyBorder="1" applyAlignment="1" applyProtection="1">
      <alignment horizontal="center" vertical="center"/>
      <protection locked="0"/>
    </xf>
    <xf numFmtId="14" fontId="0" fillId="0" borderId="11" xfId="0" applyNumberFormat="1" applyFont="1" applyBorder="1" applyAlignment="1" applyProtection="1"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protection locked="0"/>
    </xf>
    <xf numFmtId="0" fontId="30" fillId="0" borderId="0" xfId="0" applyFont="1" applyProtection="1">
      <protection locked="0"/>
    </xf>
    <xf numFmtId="0" fontId="30" fillId="0" borderId="0" xfId="0" applyFont="1" applyFill="1" applyAlignment="1" applyProtection="1">
      <alignment horizontal="center"/>
      <protection locked="0"/>
    </xf>
    <xf numFmtId="0" fontId="31" fillId="0" borderId="0" xfId="0" applyFont="1" applyFill="1" applyAlignment="1">
      <alignment wrapText="1" shrinkToFit="1"/>
    </xf>
    <xf numFmtId="0" fontId="31" fillId="0" borderId="0" xfId="0" applyFont="1" applyFill="1"/>
    <xf numFmtId="166" fontId="4" fillId="2" borderId="3" xfId="0" applyNumberFormat="1" applyFont="1" applyFill="1" applyBorder="1" applyAlignment="1">
      <alignment horizontal="center"/>
    </xf>
    <xf numFmtId="2" fontId="31" fillId="0" borderId="0" xfId="0" applyNumberFormat="1" applyFont="1"/>
    <xf numFmtId="165" fontId="1" fillId="0" borderId="0" xfId="0" applyNumberFormat="1" applyFont="1"/>
    <xf numFmtId="167" fontId="31" fillId="0" borderId="0" xfId="0" applyNumberFormat="1" applyFont="1" applyFill="1"/>
    <xf numFmtId="167" fontId="4" fillId="2" borderId="3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 applyProtection="1">
      <alignment horizontal="center"/>
      <protection locked="0"/>
    </xf>
    <xf numFmtId="168" fontId="4" fillId="2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  <protection locked="0"/>
    </xf>
    <xf numFmtId="1" fontId="7" fillId="0" borderId="27" xfId="0" applyNumberFormat="1" applyFont="1" applyFill="1" applyBorder="1" applyAlignment="1">
      <alignment horizontal="center"/>
    </xf>
    <xf numFmtId="1" fontId="7" fillId="0" borderId="43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Border="1"/>
    <xf numFmtId="0" fontId="0" fillId="0" borderId="11" xfId="0" applyFont="1" applyBorder="1" applyAlignment="1">
      <alignment horizontal="center"/>
    </xf>
    <xf numFmtId="0" fontId="0" fillId="0" borderId="27" xfId="0" applyFont="1" applyFill="1" applyBorder="1" applyAlignment="1">
      <alignment horizontal="center" wrapText="1" shrinkToFit="1"/>
    </xf>
    <xf numFmtId="0" fontId="0" fillId="0" borderId="21" xfId="0" applyFont="1" applyBorder="1" applyAlignment="1">
      <alignment horizontal="left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21" fillId="0" borderId="13" xfId="0" applyFont="1" applyFill="1" applyBorder="1" applyAlignment="1" applyProtection="1">
      <alignment horizontal="center" vertical="center"/>
      <protection locked="0"/>
    </xf>
    <xf numFmtId="0" fontId="0" fillId="0" borderId="21" xfId="0" applyFont="1" applyBorder="1" applyAlignment="1">
      <alignment horizontal="center"/>
    </xf>
    <xf numFmtId="0" fontId="35" fillId="20" borderId="20" xfId="0" applyFont="1" applyFill="1" applyBorder="1" applyAlignment="1">
      <alignment horizontal="center" wrapText="1"/>
    </xf>
    <xf numFmtId="0" fontId="0" fillId="20" borderId="0" xfId="0" applyFill="1"/>
    <xf numFmtId="2" fontId="35" fillId="20" borderId="29" xfId="0" applyNumberFormat="1" applyFont="1" applyFill="1" applyBorder="1" applyAlignment="1">
      <alignment horizontal="center"/>
    </xf>
    <xf numFmtId="0" fontId="36" fillId="20" borderId="22" xfId="0" applyFont="1" applyFill="1" applyBorder="1" applyAlignment="1">
      <alignment horizontal="center" wrapText="1"/>
    </xf>
    <xf numFmtId="0" fontId="36" fillId="20" borderId="3" xfId="0" applyFont="1" applyFill="1" applyBorder="1" applyAlignment="1">
      <alignment horizontal="center"/>
    </xf>
    <xf numFmtId="0" fontId="18" fillId="21" borderId="9" xfId="0" applyFont="1" applyFill="1" applyBorder="1" applyAlignment="1">
      <alignment horizontal="center"/>
    </xf>
    <xf numFmtId="0" fontId="18" fillId="21" borderId="9" xfId="0" applyFont="1" applyFill="1" applyBorder="1"/>
    <xf numFmtId="0" fontId="18" fillId="21" borderId="30" xfId="0" applyFont="1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2" fillId="10" borderId="16" xfId="0" applyFont="1" applyFill="1" applyBorder="1"/>
    <xf numFmtId="1" fontId="7" fillId="0" borderId="16" xfId="0" applyNumberFormat="1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2" fontId="21" fillId="0" borderId="17" xfId="0" applyNumberFormat="1" applyFont="1" applyFill="1" applyBorder="1" applyAlignment="1">
      <alignment horizontal="center"/>
    </xf>
    <xf numFmtId="1" fontId="21" fillId="0" borderId="19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25" fillId="15" borderId="4" xfId="0" applyNumberFormat="1" applyFont="1" applyFill="1" applyBorder="1"/>
    <xf numFmtId="2" fontId="26" fillId="15" borderId="4" xfId="0" applyNumberFormat="1" applyFont="1" applyFill="1" applyBorder="1" applyAlignment="1">
      <alignment horizontal="center"/>
    </xf>
    <xf numFmtId="1" fontId="26" fillId="15" borderId="19" xfId="0" applyNumberFormat="1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1" fontId="18" fillId="0" borderId="17" xfId="0" applyNumberFormat="1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 wrapText="1"/>
    </xf>
    <xf numFmtId="2" fontId="4" fillId="10" borderId="28" xfId="0" applyNumberFormat="1" applyFont="1" applyFill="1" applyBorder="1" applyAlignment="1">
      <alignment horizontal="center"/>
    </xf>
    <xf numFmtId="0" fontId="23" fillId="10" borderId="28" xfId="0" applyFont="1" applyFill="1" applyBorder="1" applyAlignment="1">
      <alignment horizontal="center" wrapText="1"/>
    </xf>
    <xf numFmtId="0" fontId="35" fillId="22" borderId="18" xfId="0" applyFont="1" applyFill="1" applyBorder="1"/>
    <xf numFmtId="1" fontId="26" fillId="15" borderId="4" xfId="0" applyNumberFormat="1" applyFont="1" applyFill="1" applyBorder="1" applyAlignment="1">
      <alignment horizontal="center"/>
    </xf>
    <xf numFmtId="0" fontId="18" fillId="21" borderId="0" xfId="0" applyFont="1" applyFill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Alignment="1">
      <alignment horizontal="center"/>
    </xf>
    <xf numFmtId="14" fontId="0" fillId="0" borderId="11" xfId="0" applyNumberFormat="1" applyFont="1" applyBorder="1" applyAlignment="1" applyProtection="1">
      <alignment horizontal="center"/>
      <protection locked="0"/>
    </xf>
    <xf numFmtId="1" fontId="0" fillId="0" borderId="22" xfId="0" applyNumberFormat="1" applyBorder="1" applyAlignment="1">
      <alignment horizontal="center"/>
    </xf>
    <xf numFmtId="0" fontId="2" fillId="0" borderId="17" xfId="0" applyFont="1" applyFill="1" applyBorder="1" applyAlignment="1" applyProtection="1">
      <alignment horizontal="center"/>
      <protection locked="0"/>
    </xf>
    <xf numFmtId="0" fontId="2" fillId="0" borderId="51" xfId="0" applyFont="1" applyFill="1" applyBorder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0" fillId="9" borderId="10" xfId="0" applyFont="1" applyFill="1" applyBorder="1" applyProtection="1">
      <protection hidden="1"/>
    </xf>
    <xf numFmtId="0" fontId="0" fillId="9" borderId="1" xfId="0" applyFont="1" applyFill="1" applyBorder="1" applyProtection="1">
      <protection hidden="1"/>
    </xf>
    <xf numFmtId="0" fontId="1" fillId="9" borderId="26" xfId="0" applyFont="1" applyFill="1" applyBorder="1" applyAlignment="1" applyProtection="1">
      <protection hidden="1"/>
    </xf>
    <xf numFmtId="0" fontId="1" fillId="9" borderId="17" xfId="0" applyFont="1" applyFill="1" applyBorder="1" applyAlignment="1" applyProtection="1">
      <protection hidden="1"/>
    </xf>
    <xf numFmtId="0" fontId="1" fillId="9" borderId="0" xfId="0" applyFont="1" applyFill="1" applyBorder="1" applyAlignment="1" applyProtection="1">
      <protection hidden="1"/>
    </xf>
    <xf numFmtId="0" fontId="2" fillId="5" borderId="11" xfId="0" applyFont="1" applyFill="1" applyBorder="1" applyAlignment="1" applyProtection="1">
      <alignment horizontal="center"/>
      <protection hidden="1"/>
    </xf>
    <xf numFmtId="0" fontId="21" fillId="13" borderId="12" xfId="0" applyFont="1" applyFill="1" applyBorder="1" applyProtection="1">
      <protection hidden="1"/>
    </xf>
    <xf numFmtId="0" fontId="21" fillId="13" borderId="11" xfId="0" applyFont="1" applyFill="1" applyBorder="1" applyAlignment="1" applyProtection="1">
      <alignment horizontal="center"/>
      <protection hidden="1"/>
    </xf>
    <xf numFmtId="0" fontId="0" fillId="13" borderId="15" xfId="0" applyFont="1" applyFill="1" applyBorder="1" applyAlignment="1" applyProtection="1">
      <alignment horizontal="center" wrapText="1" shrinkToFit="1"/>
      <protection hidden="1"/>
    </xf>
    <xf numFmtId="0" fontId="21" fillId="11" borderId="12" xfId="0" applyFont="1" applyFill="1" applyBorder="1" applyProtection="1">
      <protection hidden="1"/>
    </xf>
    <xf numFmtId="0" fontId="21" fillId="11" borderId="11" xfId="0" applyFont="1" applyFill="1" applyBorder="1" applyAlignment="1" applyProtection="1">
      <alignment horizontal="center"/>
      <protection hidden="1"/>
    </xf>
    <xf numFmtId="0" fontId="0" fillId="11" borderId="15" xfId="0" applyFont="1" applyFill="1" applyBorder="1" applyAlignment="1" applyProtection="1">
      <alignment horizontal="center" wrapText="1" shrinkToFit="1"/>
      <protection hidden="1"/>
    </xf>
    <xf numFmtId="0" fontId="21" fillId="5" borderId="11" xfId="0" applyFont="1" applyFill="1" applyBorder="1" applyAlignment="1" applyProtection="1">
      <alignment horizontal="center"/>
      <protection hidden="1"/>
    </xf>
    <xf numFmtId="0" fontId="2" fillId="9" borderId="16" xfId="0" applyFont="1" applyFill="1" applyBorder="1" applyProtection="1">
      <protection hidden="1"/>
    </xf>
    <xf numFmtId="0" fontId="2" fillId="9" borderId="0" xfId="0" applyFont="1" applyFill="1" applyBorder="1" applyProtection="1">
      <protection hidden="1"/>
    </xf>
    <xf numFmtId="0" fontId="0" fillId="9" borderId="17" xfId="0" applyFont="1" applyFill="1" applyBorder="1" applyAlignment="1" applyProtection="1">
      <protection hidden="1"/>
    </xf>
    <xf numFmtId="0" fontId="21" fillId="9" borderId="16" xfId="0" applyFont="1" applyFill="1" applyBorder="1" applyProtection="1">
      <protection hidden="1"/>
    </xf>
    <xf numFmtId="0" fontId="21" fillId="9" borderId="0" xfId="0" applyFont="1" applyFill="1" applyBorder="1" applyProtection="1">
      <protection hidden="1"/>
    </xf>
    <xf numFmtId="0" fontId="0" fillId="9" borderId="0" xfId="0" applyFont="1" applyFill="1" applyBorder="1" applyAlignment="1" applyProtection="1">
      <protection hidden="1"/>
    </xf>
    <xf numFmtId="0" fontId="7" fillId="13" borderId="10" xfId="0" applyFont="1" applyFill="1" applyBorder="1" applyAlignment="1" applyProtection="1">
      <alignment horizontal="left" vertical="center"/>
      <protection hidden="1"/>
    </xf>
    <xf numFmtId="0" fontId="7" fillId="13" borderId="1" xfId="0" applyFont="1" applyFill="1" applyBorder="1" applyAlignment="1" applyProtection="1">
      <alignment horizontal="center" vertical="center"/>
      <protection hidden="1"/>
    </xf>
    <xf numFmtId="0" fontId="7" fillId="13" borderId="26" xfId="0" applyFont="1" applyFill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7" fillId="0" borderId="17" xfId="0" applyFont="1" applyBorder="1" applyAlignment="1" applyProtection="1">
      <alignment horizontal="center"/>
      <protection hidden="1"/>
    </xf>
    <xf numFmtId="0" fontId="0" fillId="9" borderId="12" xfId="0" applyFont="1" applyFill="1" applyBorder="1" applyProtection="1">
      <protection hidden="1"/>
    </xf>
    <xf numFmtId="0" fontId="24" fillId="0" borderId="16" xfId="0" applyFont="1" applyBorder="1" applyAlignment="1" applyProtection="1">
      <alignment horizontal="center"/>
      <protection hidden="1"/>
    </xf>
    <xf numFmtId="2" fontId="7" fillId="0" borderId="0" xfId="0" applyNumberFormat="1" applyFont="1" applyBorder="1" applyAlignment="1" applyProtection="1">
      <alignment horizontal="center"/>
      <protection hidden="1"/>
    </xf>
    <xf numFmtId="1" fontId="7" fillId="0" borderId="17" xfId="0" applyNumberFormat="1" applyFont="1" applyBorder="1" applyAlignment="1" applyProtection="1">
      <alignment horizontal="center"/>
      <protection hidden="1"/>
    </xf>
    <xf numFmtId="0" fontId="0" fillId="9" borderId="16" xfId="0" applyFont="1" applyFill="1" applyBorder="1" applyProtection="1">
      <protection hidden="1"/>
    </xf>
    <xf numFmtId="0" fontId="0" fillId="9" borderId="0" xfId="0" applyFont="1" applyFill="1" applyBorder="1" applyProtection="1">
      <protection hidden="1"/>
    </xf>
    <xf numFmtId="0" fontId="24" fillId="0" borderId="18" xfId="0" applyFont="1" applyBorder="1" applyAlignment="1" applyProtection="1">
      <alignment horizontal="center"/>
      <protection hidden="1"/>
    </xf>
    <xf numFmtId="2" fontId="7" fillId="0" borderId="4" xfId="0" applyNumberFormat="1" applyFont="1" applyBorder="1" applyAlignment="1" applyProtection="1">
      <alignment horizontal="center"/>
      <protection hidden="1"/>
    </xf>
    <xf numFmtId="1" fontId="7" fillId="0" borderId="19" xfId="0" applyNumberFormat="1" applyFont="1" applyBorder="1" applyAlignment="1" applyProtection="1">
      <alignment horizontal="center"/>
      <protection hidden="1"/>
    </xf>
    <xf numFmtId="0" fontId="21" fillId="9" borderId="18" xfId="0" applyFont="1" applyFill="1" applyBorder="1" applyProtection="1">
      <protection hidden="1"/>
    </xf>
    <xf numFmtId="0" fontId="1" fillId="9" borderId="4" xfId="0" applyFont="1" applyFill="1" applyBorder="1" applyAlignment="1" applyProtection="1">
      <protection hidden="1"/>
    </xf>
    <xf numFmtId="0" fontId="1" fillId="9" borderId="19" xfId="0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4" fillId="16" borderId="12" xfId="0" applyFont="1" applyFill="1" applyBorder="1" applyAlignment="1" applyProtection="1"/>
    <xf numFmtId="0" fontId="29" fillId="16" borderId="12" xfId="0" applyFont="1" applyFill="1" applyBorder="1" applyAlignment="1" applyProtection="1"/>
    <xf numFmtId="0" fontId="29" fillId="16" borderId="12" xfId="0" applyFont="1" applyFill="1" applyBorder="1" applyProtection="1"/>
    <xf numFmtId="0" fontId="29" fillId="16" borderId="12" xfId="0" applyFont="1" applyFill="1" applyBorder="1" applyAlignment="1" applyProtection="1">
      <alignment horizontal="left"/>
    </xf>
    <xf numFmtId="0" fontId="4" fillId="16" borderId="12" xfId="0" applyFont="1" applyFill="1" applyBorder="1" applyAlignment="1" applyProtection="1">
      <alignment horizontal="left" wrapText="1"/>
    </xf>
    <xf numFmtId="0" fontId="4" fillId="16" borderId="14" xfId="0" applyFont="1" applyFill="1" applyBorder="1" applyAlignment="1" applyProtection="1">
      <alignment horizontal="left"/>
    </xf>
    <xf numFmtId="0" fontId="2" fillId="13" borderId="2" xfId="0" applyFont="1" applyFill="1" applyBorder="1" applyProtection="1"/>
    <xf numFmtId="0" fontId="0" fillId="13" borderId="2" xfId="0" applyFont="1" applyFill="1" applyBorder="1" applyAlignment="1" applyProtection="1">
      <alignment horizontal="right"/>
    </xf>
    <xf numFmtId="0" fontId="0" fillId="13" borderId="20" xfId="0" applyFont="1" applyFill="1" applyBorder="1" applyAlignment="1" applyProtection="1">
      <alignment horizontal="right"/>
    </xf>
    <xf numFmtId="0" fontId="2" fillId="13" borderId="0" xfId="0" applyFont="1" applyFill="1" applyBorder="1" applyProtection="1"/>
    <xf numFmtId="0" fontId="0" fillId="14" borderId="2" xfId="0" applyFont="1" applyFill="1" applyBorder="1" applyAlignment="1" applyProtection="1">
      <alignment horizontal="left"/>
    </xf>
    <xf numFmtId="0" fontId="0" fillId="14" borderId="0" xfId="0" applyFont="1" applyFill="1" applyBorder="1" applyAlignment="1" applyProtection="1">
      <alignment horizontal="center"/>
    </xf>
    <xf numFmtId="0" fontId="0" fillId="14" borderId="17" xfId="0" applyFont="1" applyFill="1" applyBorder="1" applyAlignment="1" applyProtection="1">
      <alignment horizontal="center"/>
    </xf>
    <xf numFmtId="0" fontId="0" fillId="14" borderId="2" xfId="0" applyFont="1" applyFill="1" applyBorder="1" applyAlignment="1" applyProtection="1">
      <alignment horizontal="right"/>
    </xf>
    <xf numFmtId="0" fontId="0" fillId="14" borderId="20" xfId="0" applyFont="1" applyFill="1" applyBorder="1" applyAlignment="1" applyProtection="1">
      <alignment horizontal="right"/>
    </xf>
    <xf numFmtId="0" fontId="1" fillId="13" borderId="40" xfId="0" applyFont="1" applyFill="1" applyBorder="1" applyAlignment="1" applyProtection="1">
      <protection hidden="1"/>
    </xf>
    <xf numFmtId="0" fontId="1" fillId="13" borderId="41" xfId="0" applyFont="1" applyFill="1" applyBorder="1" applyAlignment="1" applyProtection="1">
      <protection hidden="1"/>
    </xf>
    <xf numFmtId="1" fontId="1" fillId="13" borderId="52" xfId="0" applyNumberFormat="1" applyFont="1" applyFill="1" applyBorder="1" applyAlignment="1" applyProtection="1">
      <alignment horizontal="center"/>
      <protection hidden="1"/>
    </xf>
    <xf numFmtId="0" fontId="2" fillId="16" borderId="0" xfId="0" applyFont="1" applyFill="1" applyBorder="1" applyProtection="1">
      <protection locked="0"/>
    </xf>
    <xf numFmtId="0" fontId="2" fillId="16" borderId="17" xfId="0" applyFont="1" applyFill="1" applyBorder="1" applyProtection="1">
      <protection locked="0"/>
    </xf>
    <xf numFmtId="0" fontId="2" fillId="16" borderId="4" xfId="0" applyFont="1" applyFill="1" applyBorder="1" applyProtection="1">
      <protection locked="0"/>
    </xf>
    <xf numFmtId="0" fontId="2" fillId="16" borderId="19" xfId="0" applyFont="1" applyFill="1" applyBorder="1" applyProtection="1">
      <protection locked="0"/>
    </xf>
    <xf numFmtId="0" fontId="1" fillId="16" borderId="0" xfId="0" applyFont="1" applyFill="1" applyBorder="1" applyAlignment="1" applyProtection="1">
      <protection locked="0"/>
    </xf>
    <xf numFmtId="0" fontId="1" fillId="16" borderId="4" xfId="0" applyFont="1" applyFill="1" applyBorder="1" applyAlignment="1" applyProtection="1">
      <protection locked="0"/>
    </xf>
    <xf numFmtId="0" fontId="1" fillId="13" borderId="0" xfId="0" applyFont="1" applyFill="1" applyBorder="1" applyAlignment="1" applyProtection="1">
      <alignment horizontal="center"/>
    </xf>
    <xf numFmtId="0" fontId="1" fillId="13" borderId="3" xfId="0" applyFont="1" applyFill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</xf>
    <xf numFmtId="0" fontId="42" fillId="0" borderId="10" xfId="0" applyFont="1" applyBorder="1" applyAlignment="1" applyProtection="1">
      <alignment horizontal="center"/>
    </xf>
    <xf numFmtId="0" fontId="42" fillId="0" borderId="1" xfId="0" applyFont="1" applyBorder="1" applyAlignment="1" applyProtection="1">
      <alignment horizontal="center"/>
    </xf>
    <xf numFmtId="0" fontId="42" fillId="0" borderId="26" xfId="0" applyFont="1" applyBorder="1" applyAlignment="1" applyProtection="1">
      <alignment horizontal="center"/>
    </xf>
    <xf numFmtId="0" fontId="0" fillId="9" borderId="16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2" fontId="1" fillId="18" borderId="30" xfId="0" applyNumberFormat="1" applyFont="1" applyFill="1" applyBorder="1" applyAlignment="1" applyProtection="1">
      <alignment horizontal="center" vertical="center" wrapText="1"/>
      <protection hidden="1"/>
    </xf>
    <xf numFmtId="2" fontId="1" fillId="18" borderId="46" xfId="0" applyNumberFormat="1" applyFont="1" applyFill="1" applyBorder="1" applyAlignment="1" applyProtection="1">
      <alignment horizontal="center" vertical="center" wrapText="1"/>
      <protection hidden="1"/>
    </xf>
    <xf numFmtId="0" fontId="1" fillId="13" borderId="7" xfId="0" applyFont="1" applyFill="1" applyBorder="1" applyAlignment="1" applyProtection="1">
      <alignment horizontal="center"/>
    </xf>
    <xf numFmtId="0" fontId="1" fillId="13" borderId="8" xfId="0" applyFont="1" applyFill="1" applyBorder="1" applyAlignment="1" applyProtection="1">
      <alignment horizontal="center"/>
    </xf>
    <xf numFmtId="0" fontId="1" fillId="13" borderId="9" xfId="0" applyFont="1" applyFill="1" applyBorder="1" applyAlignment="1" applyProtection="1">
      <alignment horizontal="center"/>
    </xf>
    <xf numFmtId="0" fontId="1" fillId="14" borderId="7" xfId="0" applyFont="1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50" xfId="0" applyBorder="1" applyAlignment="1" applyProtection="1">
      <alignment horizontal="center"/>
    </xf>
    <xf numFmtId="0" fontId="40" fillId="16" borderId="10" xfId="0" applyFont="1" applyFill="1" applyBorder="1" applyAlignment="1" applyProtection="1">
      <alignment horizontal="center"/>
      <protection locked="0"/>
    </xf>
    <xf numFmtId="0" fontId="41" fillId="16" borderId="1" xfId="0" applyFont="1" applyFill="1" applyBorder="1" applyAlignment="1"/>
    <xf numFmtId="0" fontId="41" fillId="16" borderId="26" xfId="0" applyFont="1" applyFill="1" applyBorder="1" applyAlignment="1"/>
    <xf numFmtId="2" fontId="0" fillId="11" borderId="48" xfId="0" applyNumberFormat="1" applyFont="1" applyFill="1" applyBorder="1" applyAlignment="1" applyProtection="1">
      <alignment horizontal="left" vertical="center" wrapText="1"/>
      <protection hidden="1"/>
    </xf>
    <xf numFmtId="2" fontId="0" fillId="11" borderId="49" xfId="0" applyNumberFormat="1" applyFont="1" applyFill="1" applyBorder="1" applyAlignment="1" applyProtection="1">
      <alignment horizontal="left" vertical="center" wrapText="1"/>
      <protection hidden="1"/>
    </xf>
    <xf numFmtId="0" fontId="1" fillId="13" borderId="32" xfId="0" applyFont="1" applyFill="1" applyBorder="1" applyAlignment="1" applyProtection="1">
      <alignment horizontal="center"/>
      <protection hidden="1"/>
    </xf>
    <xf numFmtId="0" fontId="1" fillId="0" borderId="31" xfId="0" applyFont="1" applyBorder="1" applyAlignment="1" applyProtection="1">
      <alignment horizontal="center"/>
      <protection hidden="1"/>
    </xf>
    <xf numFmtId="0" fontId="1" fillId="0" borderId="34" xfId="0" applyFont="1" applyBorder="1" applyAlignment="1" applyProtection="1">
      <alignment horizontal="center"/>
      <protection hidden="1"/>
    </xf>
    <xf numFmtId="1" fontId="1" fillId="19" borderId="39" xfId="0" applyNumberFormat="1" applyFont="1" applyFill="1" applyBorder="1" applyAlignment="1" applyProtection="1">
      <alignment horizontal="center" vertical="center" wrapText="1"/>
      <protection hidden="1"/>
    </xf>
    <xf numFmtId="1" fontId="1" fillId="19" borderId="36" xfId="0" applyNumberFormat="1" applyFont="1" applyFill="1" applyBorder="1" applyAlignment="1" applyProtection="1">
      <alignment horizontal="center" vertical="center" wrapText="1"/>
      <protection hidden="1"/>
    </xf>
    <xf numFmtId="0" fontId="0" fillId="14" borderId="48" xfId="0" applyFont="1" applyFill="1" applyBorder="1" applyAlignment="1" applyProtection="1">
      <alignment horizontal="left" vertical="center" wrapText="1"/>
      <protection hidden="1"/>
    </xf>
    <xf numFmtId="0" fontId="0" fillId="14" borderId="38" xfId="0" applyFont="1" applyFill="1" applyBorder="1" applyAlignment="1" applyProtection="1">
      <alignment horizontal="left" vertical="center" wrapText="1"/>
      <protection hidden="1"/>
    </xf>
    <xf numFmtId="1" fontId="1" fillId="18" borderId="39" xfId="0" applyNumberFormat="1" applyFont="1" applyFill="1" applyBorder="1" applyAlignment="1" applyProtection="1">
      <alignment horizontal="center" vertical="center" wrapText="1"/>
      <protection hidden="1"/>
    </xf>
    <xf numFmtId="1" fontId="1" fillId="18" borderId="36" xfId="0" applyNumberFormat="1" applyFont="1" applyFill="1" applyBorder="1" applyAlignment="1" applyProtection="1">
      <alignment horizontal="center" vertical="center" wrapText="1"/>
      <protection hidden="1"/>
    </xf>
    <xf numFmtId="2" fontId="1" fillId="18" borderId="30" xfId="0" applyNumberFormat="1" applyFont="1" applyFill="1" applyBorder="1" applyAlignment="1" applyProtection="1">
      <alignment horizontal="center" vertical="center" wrapText="1"/>
    </xf>
    <xf numFmtId="2" fontId="1" fillId="18" borderId="29" xfId="0" applyNumberFormat="1" applyFont="1" applyFill="1" applyBorder="1" applyAlignment="1" applyProtection="1">
      <alignment horizontal="center" vertical="center" wrapText="1"/>
    </xf>
    <xf numFmtId="0" fontId="2" fillId="9" borderId="12" xfId="0" applyFont="1" applyFill="1" applyBorder="1" applyAlignment="1" applyProtection="1">
      <alignment horizontal="center"/>
      <protection hidden="1"/>
    </xf>
    <xf numFmtId="0" fontId="2" fillId="9" borderId="11" xfId="0" applyFont="1" applyFill="1" applyBorder="1" applyAlignment="1" applyProtection="1">
      <alignment horizontal="center"/>
      <protection hidden="1"/>
    </xf>
    <xf numFmtId="0" fontId="0" fillId="13" borderId="48" xfId="0" applyFont="1" applyFill="1" applyBorder="1" applyAlignment="1" applyProtection="1">
      <alignment horizontal="left" vertical="center" wrapText="1"/>
      <protection hidden="1"/>
    </xf>
    <xf numFmtId="0" fontId="0" fillId="13" borderId="38" xfId="0" applyFont="1" applyFill="1" applyBorder="1" applyAlignment="1" applyProtection="1">
      <alignment horizontal="left" vertical="center" wrapText="1"/>
      <protection hidden="1"/>
    </xf>
    <xf numFmtId="2" fontId="1" fillId="19" borderId="30" xfId="0" applyNumberFormat="1" applyFont="1" applyFill="1" applyBorder="1" applyAlignment="1" applyProtection="1">
      <alignment horizontal="center" vertical="center" wrapText="1"/>
      <protection hidden="1"/>
    </xf>
    <xf numFmtId="2" fontId="1" fillId="19" borderId="29" xfId="0" applyNumberFormat="1" applyFont="1" applyFill="1" applyBorder="1" applyAlignment="1" applyProtection="1">
      <alignment horizontal="center" vertical="center" wrapText="1"/>
      <protection hidden="1"/>
    </xf>
    <xf numFmtId="0" fontId="1" fillId="14" borderId="7" xfId="0" applyFont="1" applyFill="1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50" xfId="0" applyBorder="1" applyAlignment="1" applyProtection="1">
      <alignment horizontal="center"/>
      <protection hidden="1"/>
    </xf>
    <xf numFmtId="0" fontId="32" fillId="17" borderId="1" xfId="0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protection hidden="1"/>
    </xf>
    <xf numFmtId="0" fontId="0" fillId="0" borderId="26" xfId="0" applyBorder="1" applyAlignment="1" applyProtection="1">
      <protection hidden="1"/>
    </xf>
    <xf numFmtId="0" fontId="0" fillId="14" borderId="20" xfId="0" applyFont="1" applyFill="1" applyBorder="1" applyAlignment="1" applyProtection="1">
      <alignment horizontal="center"/>
    </xf>
    <xf numFmtId="0" fontId="0" fillId="0" borderId="21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2" fontId="1" fillId="19" borderId="46" xfId="0" applyNumberFormat="1" applyFont="1" applyFill="1" applyBorder="1" applyAlignment="1" applyProtection="1">
      <alignment horizontal="center" vertical="center" wrapText="1"/>
      <protection hidden="1"/>
    </xf>
    <xf numFmtId="1" fontId="1" fillId="18" borderId="47" xfId="0" applyNumberFormat="1" applyFont="1" applyFill="1" applyBorder="1" applyAlignment="1" applyProtection="1">
      <alignment horizontal="center" vertical="center" wrapText="1"/>
      <protection hidden="1"/>
    </xf>
    <xf numFmtId="0" fontId="24" fillId="14" borderId="10" xfId="0" applyFont="1" applyFill="1" applyBorder="1" applyAlignment="1" applyProtection="1">
      <alignment horizontal="center"/>
      <protection hidden="1"/>
    </xf>
    <xf numFmtId="0" fontId="24" fillId="0" borderId="1" xfId="0" applyFont="1" applyBorder="1" applyAlignment="1" applyProtection="1">
      <alignment horizontal="center"/>
      <protection hidden="1"/>
    </xf>
    <xf numFmtId="0" fontId="24" fillId="0" borderId="26" xfId="0" applyFont="1" applyBorder="1" applyAlignment="1" applyProtection="1">
      <alignment horizontal="center"/>
      <protection hidden="1"/>
    </xf>
    <xf numFmtId="2" fontId="7" fillId="0" borderId="40" xfId="0" applyNumberFormat="1" applyFont="1" applyFill="1" applyBorder="1" applyAlignment="1" applyProtection="1">
      <alignment horizontal="center" vertical="center"/>
      <protection hidden="1"/>
    </xf>
    <xf numFmtId="0" fontId="0" fillId="0" borderId="41" xfId="0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1" fillId="0" borderId="21" xfId="0" applyFont="1" applyBorder="1" applyAlignment="1" applyProtection="1">
      <alignment horizontal="center" vertical="center"/>
      <protection hidden="1"/>
    </xf>
    <xf numFmtId="2" fontId="0" fillId="13" borderId="48" xfId="0" applyNumberFormat="1" applyFont="1" applyFill="1" applyBorder="1" applyAlignment="1" applyProtection="1">
      <alignment horizontal="left" vertical="center" wrapText="1"/>
      <protection hidden="1"/>
    </xf>
    <xf numFmtId="2" fontId="0" fillId="13" borderId="49" xfId="0" applyNumberFormat="1" applyFont="1" applyFill="1" applyBorder="1" applyAlignment="1" applyProtection="1">
      <alignment horizontal="left" vertical="center" wrapText="1"/>
      <protection hidden="1"/>
    </xf>
    <xf numFmtId="1" fontId="1" fillId="19" borderId="47" xfId="0" applyNumberFormat="1" applyFont="1" applyFill="1" applyBorder="1" applyAlignment="1" applyProtection="1">
      <alignment horizontal="center" vertical="center" wrapText="1"/>
      <protection hidden="1"/>
    </xf>
    <xf numFmtId="0" fontId="0" fillId="13" borderId="20" xfId="0" applyFont="1" applyFill="1" applyBorder="1" applyAlignment="1" applyProtection="1">
      <alignment horizontal="center"/>
    </xf>
    <xf numFmtId="0" fontId="0" fillId="0" borderId="22" xfId="0" applyFont="1" applyBorder="1" applyAlignment="1">
      <alignment horizontal="center"/>
    </xf>
    <xf numFmtId="0" fontId="0" fillId="6" borderId="3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0" xfId="0" applyFont="1" applyBorder="1" applyAlignment="1"/>
    <xf numFmtId="0" fontId="0" fillId="0" borderId="1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6" xfId="0" applyBorder="1" applyAlignment="1">
      <alignment horizontal="center"/>
    </xf>
    <xf numFmtId="2" fontId="5" fillId="0" borderId="17" xfId="0" applyNumberFormat="1" applyFont="1" applyFill="1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12" borderId="32" xfId="0" applyFont="1" applyFill="1" applyBorder="1" applyAlignment="1">
      <alignment horizontal="center" vertical="center" wrapText="1" shrinkToFit="1"/>
    </xf>
    <xf numFmtId="0" fontId="0" fillId="0" borderId="31" xfId="0" applyBorder="1" applyAlignment="1">
      <alignment vertical="center"/>
    </xf>
    <xf numFmtId="0" fontId="0" fillId="0" borderId="34" xfId="0" applyBorder="1" applyAlignment="1">
      <alignment vertical="center"/>
    </xf>
    <xf numFmtId="2" fontId="5" fillId="0" borderId="44" xfId="0" applyNumberFormat="1" applyFont="1" applyFill="1" applyBorder="1" applyAlignment="1">
      <alignment horizontal="center" vertical="center" wrapText="1" shrinkToFi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/>
    </xf>
    <xf numFmtId="0" fontId="0" fillId="0" borderId="0" xfId="0" applyAlignment="1"/>
    <xf numFmtId="0" fontId="2" fillId="6" borderId="10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26" xfId="0" applyBorder="1" applyAlignment="1"/>
    <xf numFmtId="2" fontId="6" fillId="0" borderId="28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2" fontId="6" fillId="0" borderId="37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35" fillId="20" borderId="2" xfId="0" applyFont="1" applyFill="1" applyBorder="1" applyAlignment="1">
      <alignment horizontal="center"/>
    </xf>
    <xf numFmtId="0" fontId="35" fillId="20" borderId="0" xfId="0" applyFont="1" applyFill="1" applyBorder="1" applyAlignment="1">
      <alignment horizontal="center"/>
    </xf>
    <xf numFmtId="0" fontId="1" fillId="0" borderId="11" xfId="0" applyFont="1" applyBorder="1" applyAlignment="1"/>
    <xf numFmtId="0" fontId="2" fillId="6" borderId="3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</cellXfs>
  <cellStyles count="4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Normal" xfId="0" builtinId="0"/>
  </cellStyles>
  <dxfs count="7">
    <dxf>
      <font>
        <b val="0"/>
        <i val="0"/>
        <strike val="0"/>
        <condense val="0"/>
        <extend val="0"/>
        <color indexed="10"/>
      </font>
    </dxf>
    <dxf>
      <font>
        <b val="0"/>
        <i val="0"/>
        <strike val="0"/>
        <condense val="0"/>
        <extend val="0"/>
        <color indexed="10"/>
      </font>
    </dxf>
    <dxf>
      <font>
        <b val="0"/>
        <i val="0"/>
        <strike val="0"/>
        <condense val="0"/>
        <extend val="0"/>
        <color indexed="10"/>
      </font>
    </dxf>
    <dxf>
      <font>
        <b val="0"/>
        <i val="0"/>
        <strike val="0"/>
        <condense val="0"/>
        <extend val="0"/>
        <color indexed="10"/>
      </font>
    </dxf>
    <dxf>
      <font>
        <b val="0"/>
        <i val="0"/>
        <strike val="0"/>
        <condense val="0"/>
        <extend val="0"/>
        <color indexed="10"/>
      </font>
    </dxf>
    <dxf>
      <font>
        <strike val="0"/>
        <condense val="0"/>
        <extend val="0"/>
        <u/>
        <color indexed="10"/>
      </font>
    </dxf>
    <dxf>
      <font>
        <b val="0"/>
        <i val="0"/>
        <strike val="0"/>
        <condense val="0"/>
        <extend val="0"/>
        <color indexed="10"/>
      </font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190500</xdr:colOff>
      <xdr:row>42</xdr:row>
      <xdr:rowOff>0</xdr:rowOff>
    </xdr:from>
    <xdr:ext cx="184666" cy="261610"/>
    <xdr:sp macro="" textlink="">
      <xdr:nvSpPr>
        <xdr:cNvPr id="2" name="TextBox 1"/>
        <xdr:cNvSpPr txBox="1"/>
      </xdr:nvSpPr>
      <xdr:spPr>
        <a:xfrm>
          <a:off x="2209800" y="68580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92</xdr:row>
      <xdr:rowOff>0</xdr:rowOff>
    </xdr:from>
    <xdr:to>
      <xdr:col>11</xdr:col>
      <xdr:colOff>0</xdr:colOff>
      <xdr:row>92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083800" y="175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DD0806"/>
              </a:solidFill>
              <a:latin typeface="Arial"/>
              <a:ea typeface="Arial"/>
              <a:cs typeface="Arial"/>
            </a:rPr>
            <a:t>Rag=R, if R&lt;7mm, then Rag=7mm; If AG&gt;13.5mm, AG=13.5mm</a:t>
          </a:r>
        </a:p>
      </xdr:txBody>
    </xdr:sp>
    <xdr:clientData/>
  </xdr:twoCellAnchor>
  <xdr:twoCellAnchor>
    <xdr:from>
      <xdr:col>0</xdr:col>
      <xdr:colOff>12700</xdr:colOff>
      <xdr:row>92</xdr:row>
      <xdr:rowOff>0</xdr:rowOff>
    </xdr:from>
    <xdr:to>
      <xdr:col>6</xdr:col>
      <xdr:colOff>0</xdr:colOff>
      <xdr:row>92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2700" y="17500600"/>
          <a:ext cx="6032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DD0806"/>
              </a:solidFill>
              <a:latin typeface="Arial"/>
              <a:ea typeface="Arial"/>
              <a:cs typeface="Arial"/>
            </a:rPr>
            <a:t>SF=1.45,HofferQ=5.20,SRKT=118.4, Holladay2=5.20</a:t>
          </a:r>
        </a:p>
      </xdr:txBody>
    </xdr:sp>
    <xdr:clientData/>
  </xdr:twoCellAnchor>
  <xdr:twoCellAnchor>
    <xdr:from>
      <xdr:col>6</xdr:col>
      <xdr:colOff>63500</xdr:colOff>
      <xdr:row>92</xdr:row>
      <xdr:rowOff>0</xdr:rowOff>
    </xdr:from>
    <xdr:to>
      <xdr:col>10</xdr:col>
      <xdr:colOff>584200</xdr:colOff>
      <xdr:row>92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6108700" y="17500600"/>
          <a:ext cx="38100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a-DK" sz="1000" b="1" i="0" u="none" strike="noStrike" baseline="0">
              <a:solidFill>
                <a:srgbClr val="DD0806"/>
              </a:solidFill>
              <a:latin typeface="Arial"/>
              <a:ea typeface="Arial"/>
              <a:cs typeface="Arial"/>
            </a:rPr>
            <a:t>If A&lt;=23, M=1, G=28; If A&gt;23, M=-1, G=23.5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0</xdr:colOff>
      <xdr:row>92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0083800" y="175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DD0806"/>
              </a:solidFill>
              <a:latin typeface="Arial"/>
              <a:ea typeface="Arial"/>
              <a:cs typeface="Arial"/>
            </a:rPr>
            <a:t>SF=1.45,HofferQ=5.20,SRKT=118.4, Holladay2=5.20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0</xdr:colOff>
      <xdr:row>92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0083800" y="175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a-DK" sz="1000" b="1" i="0" u="none" strike="noStrike" baseline="0">
              <a:solidFill>
                <a:srgbClr val="DD0806"/>
              </a:solidFill>
              <a:latin typeface="Arial"/>
              <a:ea typeface="Arial"/>
              <a:cs typeface="Arial"/>
            </a:rPr>
            <a:t>If A&lt;=23, M=1, G=28; If A&gt;23, M=-1, G=23.5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0</xdr:colOff>
      <xdr:row>92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10083800" y="175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DD0806"/>
              </a:solidFill>
              <a:latin typeface="Arial"/>
              <a:ea typeface="Arial"/>
              <a:cs typeface="Arial"/>
            </a:rPr>
            <a:t>SF=1.45,HofferQ=5.20,SRKT=118.4, Holladay2=5.20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0</xdr:colOff>
      <xdr:row>92</xdr:row>
      <xdr:rowOff>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10083800" y="175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a-DK" sz="1000" b="1" i="0" u="none" strike="noStrike" baseline="0">
              <a:solidFill>
                <a:srgbClr val="DD0806"/>
              </a:solidFill>
              <a:latin typeface="Arial"/>
              <a:ea typeface="Arial"/>
              <a:cs typeface="Arial"/>
            </a:rPr>
            <a:t>If A&lt;=23, M=1, G=28; If A&gt;23, M=-1, G=23.5</a:t>
          </a:r>
        </a:p>
      </xdr:txBody>
    </xdr:sp>
    <xdr:clientData/>
  </xdr:twoCellAnchor>
  <xdr:twoCellAnchor>
    <xdr:from>
      <xdr:col>11</xdr:col>
      <xdr:colOff>76200</xdr:colOff>
      <xdr:row>92</xdr:row>
      <xdr:rowOff>0</xdr:rowOff>
    </xdr:from>
    <xdr:to>
      <xdr:col>16</xdr:col>
      <xdr:colOff>444500</xdr:colOff>
      <xdr:row>92</xdr:row>
      <xdr:rowOff>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10160000" y="17500600"/>
          <a:ext cx="38100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DD0806"/>
              </a:solidFill>
              <a:latin typeface="Arial"/>
              <a:ea typeface="Arial"/>
              <a:cs typeface="Arial"/>
            </a:rPr>
            <a:t>Rag=R, if R&lt;7mm, then Rag=7mm; If AG&gt;13.5mm, AG=13.5mm</a:t>
          </a:r>
        </a:p>
      </xdr:txBody>
    </xdr:sp>
    <xdr:clientData/>
  </xdr:twoCellAnchor>
  <xdr:twoCellAnchor editAs="oneCell">
    <xdr:from>
      <xdr:col>0</xdr:col>
      <xdr:colOff>25400</xdr:colOff>
      <xdr:row>15</xdr:row>
      <xdr:rowOff>139700</xdr:rowOff>
    </xdr:from>
    <xdr:to>
      <xdr:col>4</xdr:col>
      <xdr:colOff>215900</xdr:colOff>
      <xdr:row>24</xdr:row>
      <xdr:rowOff>190500</xdr:rowOff>
    </xdr:to>
    <xdr:pic>
      <xdr:nvPicPr>
        <xdr:cNvPr id="106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314700"/>
          <a:ext cx="45974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92</xdr:row>
      <xdr:rowOff>0</xdr:rowOff>
    </xdr:from>
    <xdr:to>
      <xdr:col>11</xdr:col>
      <xdr:colOff>0</xdr:colOff>
      <xdr:row>92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083800" y="18592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DD0806"/>
              </a:solidFill>
              <a:latin typeface="Arial"/>
              <a:ea typeface="Arial"/>
              <a:cs typeface="Arial"/>
            </a:rPr>
            <a:t>Rag=R, if R&lt;7mm, then Rag=7mm; If AG&gt;13.5mm, AG=13.5mm</a:t>
          </a:r>
        </a:p>
      </xdr:txBody>
    </xdr:sp>
    <xdr:clientData/>
  </xdr:twoCellAnchor>
  <xdr:twoCellAnchor>
    <xdr:from>
      <xdr:col>0</xdr:col>
      <xdr:colOff>12700</xdr:colOff>
      <xdr:row>92</xdr:row>
      <xdr:rowOff>0</xdr:rowOff>
    </xdr:from>
    <xdr:to>
      <xdr:col>6</xdr:col>
      <xdr:colOff>0</xdr:colOff>
      <xdr:row>92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700" y="18592800"/>
          <a:ext cx="6032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DD0806"/>
              </a:solidFill>
              <a:latin typeface="Arial"/>
              <a:ea typeface="Arial"/>
              <a:cs typeface="Arial"/>
            </a:rPr>
            <a:t>SF=1.45,HofferQ=5.20,SRKT=118.4, Holladay2=5.20</a:t>
          </a:r>
        </a:p>
      </xdr:txBody>
    </xdr:sp>
    <xdr:clientData/>
  </xdr:twoCellAnchor>
  <xdr:twoCellAnchor>
    <xdr:from>
      <xdr:col>6</xdr:col>
      <xdr:colOff>63500</xdr:colOff>
      <xdr:row>92</xdr:row>
      <xdr:rowOff>0</xdr:rowOff>
    </xdr:from>
    <xdr:to>
      <xdr:col>10</xdr:col>
      <xdr:colOff>584200</xdr:colOff>
      <xdr:row>92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108700" y="18592800"/>
          <a:ext cx="38100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a-DK" sz="1000" b="1" i="0" u="none" strike="noStrike" baseline="0">
              <a:solidFill>
                <a:srgbClr val="DD0806"/>
              </a:solidFill>
              <a:latin typeface="Arial"/>
              <a:ea typeface="Arial"/>
              <a:cs typeface="Arial"/>
            </a:rPr>
            <a:t>If A&lt;=23, M=1, G=28; If A&gt;23, M=-1, G=23.5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0</xdr:colOff>
      <xdr:row>92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0083800" y="18592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DD0806"/>
              </a:solidFill>
              <a:latin typeface="Arial"/>
              <a:ea typeface="Arial"/>
              <a:cs typeface="Arial"/>
            </a:rPr>
            <a:t>SF=1.45,HofferQ=5.20,SRKT=118.4, Holladay2=5.20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0</xdr:colOff>
      <xdr:row>92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083800" y="18592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a-DK" sz="1000" b="1" i="0" u="none" strike="noStrike" baseline="0">
              <a:solidFill>
                <a:srgbClr val="DD0806"/>
              </a:solidFill>
              <a:latin typeface="Arial"/>
              <a:ea typeface="Arial"/>
              <a:cs typeface="Arial"/>
            </a:rPr>
            <a:t>If A&lt;=23, M=1, G=28; If A&gt;23, M=-1, G=23.5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0</xdr:colOff>
      <xdr:row>92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0083800" y="18592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DD0806"/>
              </a:solidFill>
              <a:latin typeface="Arial"/>
              <a:ea typeface="Arial"/>
              <a:cs typeface="Arial"/>
            </a:rPr>
            <a:t>SF=1.45,HofferQ=5.20,SRKT=118.4, Holladay2=5.20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0</xdr:colOff>
      <xdr:row>92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0083800" y="18592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a-DK" sz="1000" b="1" i="0" u="none" strike="noStrike" baseline="0">
              <a:solidFill>
                <a:srgbClr val="DD0806"/>
              </a:solidFill>
              <a:latin typeface="Arial"/>
              <a:ea typeface="Arial"/>
              <a:cs typeface="Arial"/>
            </a:rPr>
            <a:t>If A&lt;=23, M=1, G=28; If A&gt;23, M=-1, G=23.5</a:t>
          </a:r>
        </a:p>
      </xdr:txBody>
    </xdr:sp>
    <xdr:clientData/>
  </xdr:twoCellAnchor>
  <xdr:twoCellAnchor>
    <xdr:from>
      <xdr:col>11</xdr:col>
      <xdr:colOff>76200</xdr:colOff>
      <xdr:row>92</xdr:row>
      <xdr:rowOff>0</xdr:rowOff>
    </xdr:from>
    <xdr:to>
      <xdr:col>16</xdr:col>
      <xdr:colOff>444500</xdr:colOff>
      <xdr:row>92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0160000" y="18592800"/>
          <a:ext cx="38100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DD0806"/>
              </a:solidFill>
              <a:latin typeface="Arial"/>
              <a:ea typeface="Arial"/>
              <a:cs typeface="Arial"/>
            </a:rPr>
            <a:t>Rag=R, if R&lt;7mm, then Rag=7mm; If AG&gt;13.5mm, AG=13.5mm</a:t>
          </a:r>
        </a:p>
      </xdr:txBody>
    </xdr:sp>
    <xdr:clientData/>
  </xdr:twoCellAnchor>
  <xdr:twoCellAnchor editAs="oneCell">
    <xdr:from>
      <xdr:col>0</xdr:col>
      <xdr:colOff>25400</xdr:colOff>
      <xdr:row>15</xdr:row>
      <xdr:rowOff>139700</xdr:rowOff>
    </xdr:from>
    <xdr:to>
      <xdr:col>4</xdr:col>
      <xdr:colOff>215900</xdr:colOff>
      <xdr:row>24</xdr:row>
      <xdr:rowOff>190500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314700"/>
          <a:ext cx="45974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48"/>
  <sheetViews>
    <sheetView tabSelected="1" workbookViewId="0">
      <selection sqref="A1:XFD2"/>
    </sheetView>
  </sheetViews>
  <sheetFormatPr baseColWidth="10" defaultRowHeight="13" x14ac:dyDescent="0"/>
  <cols>
    <col min="1" max="1" width="12.85546875" style="204" customWidth="1"/>
    <col min="2" max="2" width="9.85546875" style="204" customWidth="1"/>
    <col min="3" max="3" width="5.7109375" style="204" customWidth="1"/>
    <col min="4" max="4" width="10" style="204" customWidth="1"/>
    <col min="5" max="5" width="16" style="204" bestFit="1" customWidth="1"/>
    <col min="6" max="6" width="9" style="204" customWidth="1"/>
    <col min="7" max="7" width="10" style="204" customWidth="1"/>
    <col min="8" max="8" width="16" style="204" bestFit="1" customWidth="1"/>
    <col min="9" max="9" width="10.28515625" style="204" customWidth="1"/>
    <col min="10" max="10" width="12.85546875" style="204" customWidth="1"/>
    <col min="11" max="16384" width="10.7109375" style="204"/>
  </cols>
  <sheetData>
    <row r="1" spans="1:13" ht="34" customHeight="1">
      <c r="A1" s="343" t="s">
        <v>131</v>
      </c>
      <c r="B1" s="344"/>
      <c r="C1" s="344"/>
      <c r="D1" s="344"/>
      <c r="E1" s="344"/>
      <c r="F1" s="344"/>
      <c r="G1" s="344"/>
      <c r="H1" s="344"/>
      <c r="I1" s="344"/>
      <c r="J1" s="345"/>
    </row>
    <row r="2" spans="1:13" ht="19" thickBot="1">
      <c r="A2" s="340" t="s">
        <v>132</v>
      </c>
      <c r="B2" s="341"/>
      <c r="C2" s="341"/>
      <c r="D2" s="341"/>
      <c r="E2" s="341"/>
      <c r="F2" s="341"/>
      <c r="G2" s="341"/>
      <c r="H2" s="341"/>
      <c r="I2" s="341"/>
      <c r="J2" s="342"/>
    </row>
    <row r="3" spans="1:13" ht="20">
      <c r="A3" s="356" t="s">
        <v>0</v>
      </c>
      <c r="B3" s="357"/>
      <c r="C3" s="357"/>
      <c r="D3" s="357"/>
      <c r="E3" s="357"/>
      <c r="F3" s="357"/>
      <c r="G3" s="357"/>
      <c r="H3" s="357"/>
      <c r="I3" s="357"/>
      <c r="J3" s="358"/>
      <c r="K3" s="196"/>
      <c r="L3" s="196"/>
    </row>
    <row r="4" spans="1:13" s="195" customFormat="1" ht="13" customHeight="1">
      <c r="A4" s="314" t="s">
        <v>104</v>
      </c>
      <c r="B4" s="212" t="s">
        <v>109</v>
      </c>
      <c r="C4" s="336"/>
      <c r="D4" s="350" t="s">
        <v>83</v>
      </c>
      <c r="E4" s="351"/>
      <c r="F4" s="351"/>
      <c r="G4" s="352"/>
      <c r="H4" s="353" t="s">
        <v>107</v>
      </c>
      <c r="I4" s="354"/>
      <c r="J4" s="355"/>
      <c r="K4" s="196"/>
      <c r="L4" s="196"/>
      <c r="M4" s="194"/>
    </row>
    <row r="5" spans="1:13" s="195" customFormat="1">
      <c r="A5" s="315" t="s">
        <v>52</v>
      </c>
      <c r="B5" s="212" t="s">
        <v>105</v>
      </c>
      <c r="C5" s="336"/>
      <c r="D5" s="400" t="s">
        <v>124</v>
      </c>
      <c r="E5" s="385"/>
      <c r="F5" s="385"/>
      <c r="G5" s="401"/>
      <c r="H5" s="384" t="s">
        <v>125</v>
      </c>
      <c r="I5" s="385"/>
      <c r="J5" s="386"/>
      <c r="K5" s="196"/>
      <c r="L5" s="196"/>
      <c r="M5" s="194"/>
    </row>
    <row r="6" spans="1:13" s="195" customFormat="1">
      <c r="A6" s="315" t="s">
        <v>74</v>
      </c>
      <c r="B6" s="269" t="s">
        <v>106</v>
      </c>
      <c r="C6" s="336"/>
      <c r="D6" s="320"/>
      <c r="E6" s="323"/>
      <c r="F6" s="338" t="s">
        <v>85</v>
      </c>
      <c r="G6" s="339" t="s">
        <v>108</v>
      </c>
      <c r="H6" s="324"/>
      <c r="I6" s="325" t="s">
        <v>85</v>
      </c>
      <c r="J6" s="326" t="s">
        <v>130</v>
      </c>
      <c r="K6" s="197"/>
      <c r="L6" s="197"/>
      <c r="M6" s="194"/>
    </row>
    <row r="7" spans="1:13" s="195" customFormat="1">
      <c r="A7" s="316" t="s">
        <v>53</v>
      </c>
      <c r="B7" s="209"/>
      <c r="C7" s="336"/>
      <c r="D7" s="321" t="s">
        <v>56</v>
      </c>
      <c r="E7" s="227">
        <v>44</v>
      </c>
      <c r="F7" s="395">
        <f>IF(E7-E8&gt;-0.00000001,E7-E8,"not valid")</f>
        <v>2</v>
      </c>
      <c r="G7" s="235">
        <v>90</v>
      </c>
      <c r="H7" s="327" t="s">
        <v>117</v>
      </c>
      <c r="I7" s="273">
        <v>2</v>
      </c>
      <c r="J7" s="271">
        <v>90</v>
      </c>
      <c r="K7" s="198"/>
      <c r="L7" s="225"/>
      <c r="M7" s="194"/>
    </row>
    <row r="8" spans="1:13" s="195" customFormat="1">
      <c r="A8" s="316" t="s">
        <v>2</v>
      </c>
      <c r="B8" s="211" t="s">
        <v>126</v>
      </c>
      <c r="C8" s="336"/>
      <c r="D8" s="322" t="s">
        <v>57</v>
      </c>
      <c r="E8" s="236">
        <v>42</v>
      </c>
      <c r="F8" s="396"/>
      <c r="G8" s="270">
        <f>IF(G7&lt;90,G7+90,G7-90)</f>
        <v>0</v>
      </c>
      <c r="H8" s="327" t="s">
        <v>118</v>
      </c>
      <c r="I8" s="273">
        <v>2</v>
      </c>
      <c r="J8" s="271">
        <v>90</v>
      </c>
      <c r="K8" s="198"/>
      <c r="L8" s="198"/>
      <c r="M8" s="194"/>
    </row>
    <row r="9" spans="1:13" s="195" customFormat="1">
      <c r="A9" s="317" t="s">
        <v>80</v>
      </c>
      <c r="B9" s="210">
        <v>23</v>
      </c>
      <c r="C9" s="336"/>
      <c r="D9" s="336"/>
      <c r="E9" s="332"/>
      <c r="F9" s="332"/>
      <c r="G9" s="332"/>
      <c r="H9" s="328" t="s">
        <v>119</v>
      </c>
      <c r="I9" s="274">
        <v>2</v>
      </c>
      <c r="J9" s="272">
        <v>90</v>
      </c>
      <c r="K9" s="198"/>
      <c r="L9" s="198"/>
      <c r="M9" s="194"/>
    </row>
    <row r="10" spans="1:13" s="195" customFormat="1">
      <c r="A10" s="317" t="s">
        <v>44</v>
      </c>
      <c r="B10" s="201">
        <v>0</v>
      </c>
      <c r="C10" s="336"/>
      <c r="D10" s="336"/>
      <c r="E10" s="332"/>
      <c r="F10" s="332"/>
      <c r="G10" s="332"/>
      <c r="H10" s="332"/>
      <c r="I10" s="332"/>
      <c r="J10" s="333"/>
      <c r="K10" s="198"/>
      <c r="L10" s="198"/>
      <c r="M10" s="194"/>
    </row>
    <row r="11" spans="1:13" s="195" customFormat="1" ht="17" customHeight="1">
      <c r="A11" s="318" t="s">
        <v>112</v>
      </c>
      <c r="B11" s="208">
        <v>0.15</v>
      </c>
      <c r="C11" s="336"/>
      <c r="D11" s="336"/>
      <c r="E11" s="332"/>
      <c r="F11" s="332"/>
      <c r="G11" s="332"/>
      <c r="H11" s="332"/>
      <c r="I11" s="332"/>
      <c r="J11" s="333"/>
      <c r="K11" s="198"/>
      <c r="L11" s="198"/>
      <c r="M11" s="194"/>
    </row>
    <row r="12" spans="1:13" s="195" customFormat="1" ht="16" customHeight="1" thickBot="1">
      <c r="A12" s="319" t="s">
        <v>113</v>
      </c>
      <c r="B12" s="237">
        <v>0</v>
      </c>
      <c r="C12" s="337"/>
      <c r="D12" s="337"/>
      <c r="E12" s="334"/>
      <c r="F12" s="334"/>
      <c r="G12" s="334"/>
      <c r="H12" s="334"/>
      <c r="I12" s="334"/>
      <c r="J12" s="335"/>
      <c r="K12" s="198"/>
      <c r="L12" s="194"/>
    </row>
    <row r="13" spans="1:13" ht="21" thickBot="1">
      <c r="A13" s="275"/>
      <c r="B13" s="276"/>
      <c r="C13" s="277"/>
      <c r="D13" s="381" t="s">
        <v>90</v>
      </c>
      <c r="E13" s="382"/>
      <c r="F13" s="382"/>
      <c r="G13" s="382"/>
      <c r="H13" s="382"/>
      <c r="I13" s="382"/>
      <c r="J13" s="383"/>
      <c r="K13" s="214"/>
    </row>
    <row r="14" spans="1:13" s="195" customFormat="1" ht="13" customHeight="1">
      <c r="A14" s="372" t="s">
        <v>75</v>
      </c>
      <c r="B14" s="373"/>
      <c r="C14" s="278"/>
      <c r="D14" s="279"/>
      <c r="E14" s="361" t="s">
        <v>84</v>
      </c>
      <c r="F14" s="362"/>
      <c r="G14" s="363"/>
      <c r="H14" s="378" t="s">
        <v>107</v>
      </c>
      <c r="I14" s="379"/>
      <c r="J14" s="380"/>
      <c r="K14" s="214"/>
      <c r="L14" s="198"/>
      <c r="M14" s="194"/>
    </row>
    <row r="15" spans="1:13" s="195" customFormat="1">
      <c r="A15" s="300" t="s">
        <v>127</v>
      </c>
      <c r="B15" s="280">
        <v>5.55</v>
      </c>
      <c r="C15" s="278"/>
      <c r="D15" s="279"/>
      <c r="E15" s="281"/>
      <c r="F15" s="282" t="s">
        <v>72</v>
      </c>
      <c r="G15" s="283" t="s">
        <v>108</v>
      </c>
      <c r="H15" s="284"/>
      <c r="I15" s="285" t="s">
        <v>72</v>
      </c>
      <c r="J15" s="286" t="s">
        <v>108</v>
      </c>
      <c r="K15" s="214"/>
      <c r="L15" s="198"/>
      <c r="M15" s="194"/>
    </row>
    <row r="16" spans="1:13" s="195" customFormat="1" ht="13" customHeight="1">
      <c r="A16" s="300" t="s">
        <v>128</v>
      </c>
      <c r="B16" s="287">
        <v>1.82</v>
      </c>
      <c r="C16" s="278"/>
      <c r="D16" s="279"/>
      <c r="E16" s="374" t="s">
        <v>82</v>
      </c>
      <c r="F16" s="370">
        <f>F7*0.836+0.103+0.457*COS(RADIANS(2*G7))</f>
        <v>1.3179999999999998</v>
      </c>
      <c r="G16" s="368">
        <f>G7</f>
        <v>90</v>
      </c>
      <c r="H16" s="366" t="s">
        <v>82</v>
      </c>
      <c r="I16" s="376">
        <f>TCA!T10</f>
        <v>2</v>
      </c>
      <c r="J16" s="364">
        <f>TCA!W10</f>
        <v>90</v>
      </c>
      <c r="K16" s="214"/>
      <c r="L16" s="198"/>
      <c r="M16" s="194"/>
    </row>
    <row r="17" spans="1:13" s="195" customFormat="1">
      <c r="A17" s="300" t="s">
        <v>129</v>
      </c>
      <c r="B17" s="280">
        <v>119.1</v>
      </c>
      <c r="C17" s="278"/>
      <c r="D17" s="279"/>
      <c r="E17" s="375"/>
      <c r="F17" s="371">
        <f>D15*0.836+0.103+0.457*COS(RADIANS(2*E17))</f>
        <v>0.56000000000000005</v>
      </c>
      <c r="G17" s="369"/>
      <c r="H17" s="367"/>
      <c r="I17" s="377"/>
      <c r="J17" s="365"/>
      <c r="K17" s="214"/>
      <c r="L17" s="198"/>
      <c r="M17" s="194"/>
    </row>
    <row r="18" spans="1:13" s="200" customFormat="1" ht="13" customHeight="1">
      <c r="A18" s="346"/>
      <c r="B18" s="347"/>
      <c r="C18" s="278"/>
      <c r="D18" s="279"/>
      <c r="E18" s="397" t="s">
        <v>76</v>
      </c>
      <c r="F18" s="348">
        <f>KA!B76</f>
        <v>1.4679999999999997</v>
      </c>
      <c r="G18" s="368">
        <f>KA!E76</f>
        <v>90</v>
      </c>
      <c r="H18" s="359" t="s">
        <v>76</v>
      </c>
      <c r="I18" s="376">
        <f>TCA!B75</f>
        <v>2.15</v>
      </c>
      <c r="J18" s="364">
        <f>TCA!E75</f>
        <v>90</v>
      </c>
      <c r="K18" s="214"/>
      <c r="L18" s="198"/>
      <c r="M18" s="194"/>
    </row>
    <row r="19" spans="1:13" s="195" customFormat="1" ht="14" thickBot="1">
      <c r="A19" s="288"/>
      <c r="B19" s="289"/>
      <c r="C19" s="290"/>
      <c r="D19" s="279"/>
      <c r="E19" s="398"/>
      <c r="F19" s="349"/>
      <c r="G19" s="388"/>
      <c r="H19" s="360"/>
      <c r="I19" s="387"/>
      <c r="J19" s="399"/>
      <c r="K19" s="214"/>
    </row>
    <row r="20" spans="1:13" s="195" customFormat="1" ht="14" thickBot="1">
      <c r="A20" s="291"/>
      <c r="B20" s="292"/>
      <c r="C20" s="290"/>
      <c r="D20" s="293"/>
      <c r="E20" s="279"/>
      <c r="F20" s="279"/>
      <c r="G20" s="279"/>
      <c r="H20" s="279"/>
      <c r="I20" s="279"/>
      <c r="J20" s="278"/>
      <c r="K20" s="214"/>
    </row>
    <row r="21" spans="1:13" s="195" customFormat="1" ht="14" thickBot="1">
      <c r="A21" s="291"/>
      <c r="B21" s="292"/>
      <c r="C21" s="290"/>
      <c r="D21" s="293"/>
      <c r="E21" s="329" t="s">
        <v>123</v>
      </c>
      <c r="F21" s="330"/>
      <c r="G21" s="331">
        <f>G18</f>
        <v>90</v>
      </c>
      <c r="H21" s="279"/>
      <c r="I21" s="279"/>
      <c r="J21" s="278"/>
      <c r="K21" s="214"/>
    </row>
    <row r="22" spans="1:13" s="213" customFormat="1" ht="14" thickBot="1">
      <c r="A22" s="288"/>
      <c r="B22" s="289"/>
      <c r="C22" s="290"/>
      <c r="D22" s="293"/>
      <c r="E22" s="279"/>
      <c r="F22" s="279"/>
      <c r="G22" s="279"/>
      <c r="H22" s="279"/>
      <c r="I22" s="279"/>
      <c r="J22" s="278"/>
      <c r="K22" s="214"/>
    </row>
    <row r="23" spans="1:13" s="202" customFormat="1" ht="19" thickBot="1">
      <c r="A23" s="288"/>
      <c r="B23" s="289"/>
      <c r="C23" s="278"/>
      <c r="D23" s="293"/>
      <c r="E23" s="392" t="s">
        <v>1</v>
      </c>
      <c r="F23" s="393"/>
      <c r="G23" s="393"/>
      <c r="H23" s="393"/>
      <c r="I23" s="393"/>
      <c r="J23" s="394"/>
      <c r="K23" s="214"/>
      <c r="L23" s="203"/>
      <c r="M23" s="199"/>
    </row>
    <row r="24" spans="1:13" ht="18">
      <c r="A24" s="288"/>
      <c r="B24" s="289"/>
      <c r="C24" s="278"/>
      <c r="D24" s="279"/>
      <c r="E24" s="294" t="s">
        <v>84</v>
      </c>
      <c r="F24" s="295"/>
      <c r="G24" s="296"/>
      <c r="H24" s="389" t="s">
        <v>107</v>
      </c>
      <c r="I24" s="390"/>
      <c r="J24" s="391"/>
      <c r="K24" s="214"/>
      <c r="L24" s="203"/>
      <c r="M24" s="194"/>
    </row>
    <row r="25" spans="1:13" ht="18">
      <c r="A25" s="288"/>
      <c r="B25" s="289"/>
      <c r="C25" s="278"/>
      <c r="D25" s="279"/>
      <c r="E25" s="297" t="s">
        <v>2</v>
      </c>
      <c r="F25" s="298" t="s">
        <v>71</v>
      </c>
      <c r="G25" s="299" t="s">
        <v>69</v>
      </c>
      <c r="H25" s="297" t="s">
        <v>2</v>
      </c>
      <c r="I25" s="298" t="s">
        <v>71</v>
      </c>
      <c r="J25" s="299" t="s">
        <v>69</v>
      </c>
      <c r="K25" s="214"/>
      <c r="L25" s="203"/>
      <c r="M25" s="194"/>
    </row>
    <row r="26" spans="1:13" s="205" customFormat="1" ht="16">
      <c r="A26" s="288"/>
      <c r="B26" s="289"/>
      <c r="C26" s="278"/>
      <c r="D26" s="279"/>
      <c r="E26" s="301" t="str">
        <f>IF($B$8="Alcon","T2 (T20)",IF(B8="AMO","N.A.","PodFT 1.0"))</f>
        <v>N.A.</v>
      </c>
      <c r="F26" s="302">
        <f>KA!M75</f>
        <v>0.77179965818669927</v>
      </c>
      <c r="G26" s="303">
        <f>KA!P75</f>
        <v>90</v>
      </c>
      <c r="H26" s="301" t="str">
        <f>E26</f>
        <v>N.A.</v>
      </c>
      <c r="I26" s="302">
        <f>TCA!M75</f>
        <v>1.4538084943971794</v>
      </c>
      <c r="J26" s="303">
        <f>TCA!P75</f>
        <v>90</v>
      </c>
      <c r="K26" s="214"/>
    </row>
    <row r="27" spans="1:13" ht="16">
      <c r="A27" s="288"/>
      <c r="B27" s="289"/>
      <c r="C27" s="278"/>
      <c r="D27" s="279"/>
      <c r="E27" s="301" t="str">
        <f>IF($B$8="Alcon","T3 (T30)",IF(B8="AMO","T150","PodFT 1.5"))</f>
        <v>T150</v>
      </c>
      <c r="F27" s="302">
        <f>KA!M76</f>
        <v>0.42369948728004903</v>
      </c>
      <c r="G27" s="303">
        <f>KA!P76</f>
        <v>90</v>
      </c>
      <c r="H27" s="301" t="str">
        <f>E27</f>
        <v>T150</v>
      </c>
      <c r="I27" s="302">
        <f>TCA!M76</f>
        <v>1.1057127415957693</v>
      </c>
      <c r="J27" s="303">
        <f>TCA!P76</f>
        <v>90</v>
      </c>
      <c r="K27" s="214"/>
    </row>
    <row r="28" spans="1:13" s="206" customFormat="1" ht="16">
      <c r="A28" s="288"/>
      <c r="B28" s="289"/>
      <c r="C28" s="278"/>
      <c r="D28" s="279"/>
      <c r="E28" s="301" t="str">
        <f>IF($B$8="Alcon","T4 (T40)",IF(B8="AMO","T225","PodFT 2.25"))</f>
        <v>T225</v>
      </c>
      <c r="F28" s="302">
        <f>KA!M77</f>
        <v>9.8450769079926337E-2</v>
      </c>
      <c r="G28" s="303">
        <f>KA!P77</f>
        <v>0</v>
      </c>
      <c r="H28" s="301" t="str">
        <f t="shared" ref="H28:H34" si="0">E28</f>
        <v>T225</v>
      </c>
      <c r="I28" s="302">
        <f>TCA!M77</f>
        <v>0.58356911239365372</v>
      </c>
      <c r="J28" s="303">
        <f>TCA!P77</f>
        <v>90</v>
      </c>
      <c r="K28" s="214"/>
    </row>
    <row r="29" spans="1:13" s="207" customFormat="1" ht="16">
      <c r="A29" s="288"/>
      <c r="B29" s="289"/>
      <c r="C29" s="278"/>
      <c r="D29" s="279"/>
      <c r="E29" s="301" t="str">
        <f>IF($B$8="Alcon","T5 (T50)",IF($B$8="AMO","T300","PodFT 3.00"))</f>
        <v>T300</v>
      </c>
      <c r="F29" s="302">
        <f>KA!M78</f>
        <v>0.6206010254399017</v>
      </c>
      <c r="G29" s="303">
        <f>KA!P78</f>
        <v>0</v>
      </c>
      <c r="H29" s="301" t="str">
        <f t="shared" si="0"/>
        <v>T300</v>
      </c>
      <c r="I29" s="302">
        <f>TCA!M78</f>
        <v>6.1425483191538621E-2</v>
      </c>
      <c r="J29" s="303">
        <f>TCA!P78</f>
        <v>90</v>
      </c>
      <c r="K29" s="214"/>
    </row>
    <row r="30" spans="1:13" ht="16">
      <c r="A30" s="288"/>
      <c r="B30" s="289"/>
      <c r="C30" s="278"/>
      <c r="D30" s="279"/>
      <c r="E30" s="301" t="str">
        <f>IF($B$8="Alcon","T6 (T60)",IF($B$8="AMO","T375","PodFT 3.75"))</f>
        <v>T375</v>
      </c>
      <c r="F30" s="302">
        <f>KA!M79</f>
        <v>1.1427512817998771</v>
      </c>
      <c r="G30" s="303">
        <f>KA!P79</f>
        <v>0</v>
      </c>
      <c r="H30" s="301" t="str">
        <f t="shared" si="0"/>
        <v>T375</v>
      </c>
      <c r="I30" s="302">
        <f>TCA!M79</f>
        <v>0.46071814601057692</v>
      </c>
      <c r="J30" s="303">
        <f>TCA!P79</f>
        <v>0</v>
      </c>
      <c r="K30" s="214"/>
    </row>
    <row r="31" spans="1:13" ht="16">
      <c r="A31" s="288"/>
      <c r="B31" s="289"/>
      <c r="C31" s="278"/>
      <c r="D31" s="279"/>
      <c r="E31" s="301" t="str">
        <f>IF($B$8="Alcon","N.A.",IF($B$8="AMO","T400","N.A."))</f>
        <v>T400</v>
      </c>
      <c r="F31" s="302">
        <f>KA!M80</f>
        <v>1.3168013672532022</v>
      </c>
      <c r="G31" s="303">
        <f>KA!P80</f>
        <v>0</v>
      </c>
      <c r="H31" s="301" t="str">
        <f t="shared" si="0"/>
        <v>T400</v>
      </c>
      <c r="I31" s="302">
        <f>TCA!M80</f>
        <v>0.6347660224112821</v>
      </c>
      <c r="J31" s="303">
        <f>TCA!P80</f>
        <v>0</v>
      </c>
      <c r="K31" s="214"/>
    </row>
    <row r="32" spans="1:13" ht="16">
      <c r="A32" s="304"/>
      <c r="B32" s="305"/>
      <c r="C32" s="278"/>
      <c r="D32" s="279"/>
      <c r="E32" s="301" t="str">
        <f>IF($B$8="Alcon","T7",IF($B$8="AMO","T450","PodFT 4.5"))</f>
        <v>T450</v>
      </c>
      <c r="F32" s="302">
        <f>KA!M81</f>
        <v>1.6649015381598524</v>
      </c>
      <c r="G32" s="303">
        <f>KA!P81</f>
        <v>0</v>
      </c>
      <c r="H32" s="301" t="str">
        <f t="shared" si="0"/>
        <v>T450</v>
      </c>
      <c r="I32" s="302">
        <f>TCA!M81</f>
        <v>0.98286177521269247</v>
      </c>
      <c r="J32" s="303">
        <f>TCA!P81</f>
        <v>0</v>
      </c>
      <c r="K32" s="214"/>
    </row>
    <row r="33" spans="1:22" ht="16">
      <c r="A33" s="304"/>
      <c r="B33" s="305"/>
      <c r="C33" s="278"/>
      <c r="D33" s="279"/>
      <c r="E33" s="301" t="str">
        <f>IF($B$8="Alcon","T8",IF($B$8="AMO","T525","PodFT 5.25"))</f>
        <v>T525</v>
      </c>
      <c r="F33" s="302">
        <f>KA!M82</f>
        <v>2.187051794519828</v>
      </c>
      <c r="G33" s="303">
        <f>KA!P82</f>
        <v>0</v>
      </c>
      <c r="H33" s="301" t="str">
        <f t="shared" si="0"/>
        <v>T525</v>
      </c>
      <c r="I33" s="302">
        <f>TCA!M82</f>
        <v>1.5050054044148076</v>
      </c>
      <c r="J33" s="303">
        <f>TCA!P82</f>
        <v>0</v>
      </c>
      <c r="K33" s="214"/>
    </row>
    <row r="34" spans="1:22" s="216" customFormat="1" ht="17" thickBot="1">
      <c r="A34" s="304"/>
      <c r="B34" s="305"/>
      <c r="C34" s="278"/>
      <c r="D34" s="279"/>
      <c r="E34" s="306" t="str">
        <f>IF($B$8="Alcon","T9",IF($B$8="AMO","T600","PodFT 6.0"))</f>
        <v>T600</v>
      </c>
      <c r="F34" s="307">
        <f>KA!M83</f>
        <v>2.7092020508798029</v>
      </c>
      <c r="G34" s="308">
        <f>KA!P83</f>
        <v>0</v>
      </c>
      <c r="H34" s="306" t="str">
        <f t="shared" si="0"/>
        <v>T600</v>
      </c>
      <c r="I34" s="307">
        <f>TCA!M83</f>
        <v>2.0271490336169227</v>
      </c>
      <c r="J34" s="308">
        <f>TCA!P83</f>
        <v>0</v>
      </c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5"/>
    </row>
    <row r="35" spans="1:22" ht="14" thickBot="1">
      <c r="A35" s="309"/>
      <c r="B35" s="310"/>
      <c r="C35" s="311"/>
      <c r="D35" s="310"/>
      <c r="E35" s="310"/>
      <c r="F35" s="310"/>
      <c r="G35" s="310"/>
      <c r="H35" s="310"/>
      <c r="I35" s="310"/>
      <c r="J35" s="311"/>
    </row>
    <row r="36" spans="1:22">
      <c r="A36" s="312"/>
      <c r="B36" s="312"/>
      <c r="C36" s="312"/>
      <c r="D36" s="312"/>
      <c r="E36" s="312"/>
      <c r="F36" s="312"/>
      <c r="G36" s="312"/>
      <c r="H36" s="312"/>
      <c r="I36" s="312"/>
      <c r="J36" s="312"/>
    </row>
    <row r="37" spans="1:22">
      <c r="A37" s="313" t="s">
        <v>120</v>
      </c>
    </row>
    <row r="38" spans="1:22" s="216" customFormat="1">
      <c r="A38" s="204" t="s">
        <v>121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5"/>
    </row>
    <row r="39" spans="1:22" s="216" customFormat="1">
      <c r="A39" s="204" t="s">
        <v>122</v>
      </c>
      <c r="B39" s="204"/>
      <c r="C39" s="204"/>
      <c r="D39" s="204"/>
      <c r="E39" s="204"/>
      <c r="F39" s="204"/>
      <c r="G39" s="204"/>
      <c r="H39" s="204"/>
      <c r="I39" s="204"/>
      <c r="J39" s="20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5"/>
    </row>
    <row r="40" spans="1:22">
      <c r="A40" s="313" t="s">
        <v>110</v>
      </c>
      <c r="B40" s="312"/>
      <c r="C40" s="312"/>
      <c r="D40" s="312"/>
      <c r="E40" s="312"/>
      <c r="F40" s="312"/>
      <c r="G40" s="312"/>
      <c r="H40" s="312"/>
      <c r="I40" s="312"/>
      <c r="J40" s="312"/>
    </row>
    <row r="41" spans="1:22">
      <c r="A41" s="312" t="s">
        <v>111</v>
      </c>
      <c r="B41" s="312"/>
      <c r="C41" s="312"/>
      <c r="D41" s="312"/>
      <c r="E41" s="312"/>
      <c r="F41" s="312"/>
      <c r="G41" s="312"/>
      <c r="H41" s="312"/>
      <c r="I41" s="312"/>
      <c r="J41" s="312"/>
    </row>
    <row r="42" spans="1:22">
      <c r="A42" s="312" t="s">
        <v>114</v>
      </c>
      <c r="B42" s="312"/>
      <c r="C42" s="312"/>
      <c r="D42" s="312"/>
      <c r="E42" s="312"/>
      <c r="F42" s="312"/>
      <c r="G42" s="312"/>
      <c r="H42" s="312"/>
      <c r="I42" s="312"/>
      <c r="J42" s="312"/>
    </row>
    <row r="43" spans="1:22">
      <c r="A43" s="312" t="s">
        <v>115</v>
      </c>
      <c r="B43" s="312"/>
      <c r="C43" s="312"/>
      <c r="D43" s="312"/>
      <c r="E43" s="312"/>
      <c r="F43" s="312"/>
      <c r="G43" s="312"/>
      <c r="H43" s="312"/>
      <c r="I43" s="312"/>
      <c r="J43" s="312"/>
    </row>
    <row r="45" spans="1:22" s="216" customFormat="1">
      <c r="A45" s="204"/>
      <c r="B45" s="204"/>
      <c r="C45" s="204"/>
      <c r="D45" s="204"/>
      <c r="E45" s="204"/>
      <c r="F45" s="204"/>
      <c r="G45" s="204"/>
      <c r="H45" s="204"/>
      <c r="I45" s="204"/>
      <c r="J45" s="20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5"/>
    </row>
    <row r="46" spans="1:22">
      <c r="A46" s="215"/>
      <c r="B46" s="214"/>
      <c r="C46" s="214"/>
      <c r="D46" s="214"/>
      <c r="E46" s="214"/>
      <c r="F46" s="214"/>
      <c r="G46" s="214"/>
      <c r="H46" s="214"/>
      <c r="I46" s="214"/>
      <c r="J46" s="217"/>
      <c r="K46" s="214"/>
    </row>
    <row r="47" spans="1:22">
      <c r="A47" s="215"/>
      <c r="B47" s="214"/>
      <c r="C47" s="214"/>
      <c r="D47" s="214"/>
      <c r="E47" s="214"/>
      <c r="F47" s="214"/>
      <c r="G47" s="214"/>
      <c r="H47" s="214"/>
      <c r="I47" s="214"/>
      <c r="J47" s="217"/>
    </row>
    <row r="48" spans="1:22">
      <c r="A48" s="215"/>
      <c r="B48" s="214"/>
      <c r="C48" s="214"/>
      <c r="D48" s="214"/>
      <c r="E48" s="214"/>
      <c r="F48" s="214"/>
      <c r="G48" s="214"/>
      <c r="H48" s="214"/>
      <c r="I48" s="214"/>
      <c r="J48" s="217"/>
    </row>
  </sheetData>
  <sheetProtection password="EA05" sheet="1" objects="1" scenarios="1"/>
  <dataConsolidate/>
  <mergeCells count="27">
    <mergeCell ref="H24:J24"/>
    <mergeCell ref="E23:J23"/>
    <mergeCell ref="F7:F8"/>
    <mergeCell ref="E18:E19"/>
    <mergeCell ref="J18:J19"/>
    <mergeCell ref="H14:J14"/>
    <mergeCell ref="D13:J13"/>
    <mergeCell ref="H5:J5"/>
    <mergeCell ref="I18:I19"/>
    <mergeCell ref="G18:G19"/>
    <mergeCell ref="D5:G5"/>
    <mergeCell ref="A2:J2"/>
    <mergeCell ref="A1:J1"/>
    <mergeCell ref="A18:B18"/>
    <mergeCell ref="F18:F19"/>
    <mergeCell ref="D4:G4"/>
    <mergeCell ref="H4:J4"/>
    <mergeCell ref="A3:J3"/>
    <mergeCell ref="H18:H19"/>
    <mergeCell ref="E14:G14"/>
    <mergeCell ref="J16:J17"/>
    <mergeCell ref="H16:H17"/>
    <mergeCell ref="G16:G17"/>
    <mergeCell ref="F16:F17"/>
    <mergeCell ref="A14:B14"/>
    <mergeCell ref="E16:E17"/>
    <mergeCell ref="I16:I17"/>
  </mergeCells>
  <phoneticPr fontId="3" type="noConversion"/>
  <conditionalFormatting sqref="K6:L7 L23:L25">
    <cfRule type="cellIs" dxfId="6" priority="8" stopIfTrue="1" operator="between">
      <formula>0.5</formula>
      <formula>-0.5</formula>
    </cfRule>
  </conditionalFormatting>
  <conditionalFormatting sqref="F26:F34 I26:I34">
    <cfRule type="cellIs" dxfId="5" priority="3" stopIfTrue="1" operator="between">
      <formula>-0.3</formula>
      <formula>0.3</formula>
    </cfRule>
  </conditionalFormatting>
  <dataValidations count="1">
    <dataValidation type="list" showInputMessage="1" showErrorMessage="1" sqref="B8">
      <formula1>"Alcon,AMO,Physiol"</formula1>
    </dataValidation>
  </dataValidations>
  <pageMargins left="0" right="0" top="0" bottom="0" header="0.51181102362204722" footer="0.51181102362204722"/>
  <pageSetup paperSize="9" scale="64"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activeCell="M3" sqref="M3"/>
    </sheetView>
  </sheetViews>
  <sheetFormatPr baseColWidth="10" defaultRowHeight="13" x14ac:dyDescent="0"/>
  <cols>
    <col min="1" max="1" width="16.28515625" customWidth="1"/>
    <col min="2" max="2" width="11.42578125" customWidth="1"/>
    <col min="3" max="3" width="11.28515625" customWidth="1"/>
    <col min="4" max="4" width="10.5703125" customWidth="1"/>
    <col min="5" max="5" width="8.85546875" customWidth="1"/>
    <col min="6" max="6" width="9.5703125" customWidth="1"/>
    <col min="7" max="7" width="11.7109375" customWidth="1"/>
    <col min="8" max="8" width="9.7109375" customWidth="1"/>
    <col min="9" max="10" width="8.28515625" customWidth="1"/>
    <col min="11" max="11" width="8.42578125" customWidth="1"/>
    <col min="12" max="12" width="7.42578125" customWidth="1"/>
    <col min="13" max="13" width="6.7109375" customWidth="1"/>
    <col min="14" max="14" width="9.28515625" customWidth="1"/>
    <col min="15" max="15" width="6.7109375" customWidth="1"/>
    <col min="16" max="16" width="8.5703125" customWidth="1"/>
    <col min="17" max="17" width="7.5703125" customWidth="1"/>
    <col min="18" max="18" width="5.140625" bestFit="1" customWidth="1"/>
    <col min="19" max="19" width="8.140625" bestFit="1" customWidth="1"/>
    <col min="20" max="20" width="4.42578125" bestFit="1" customWidth="1"/>
    <col min="21" max="22" width="10.7109375" customWidth="1"/>
    <col min="23" max="23" width="6.7109375" bestFit="1" customWidth="1"/>
  </cols>
  <sheetData>
    <row r="1" spans="1:23" ht="19" customHeight="1">
      <c r="A1" s="231"/>
      <c r="B1" s="404"/>
      <c r="C1" s="404"/>
      <c r="D1" s="72"/>
      <c r="E1" s="72"/>
      <c r="F1" s="178"/>
      <c r="G1" s="73"/>
      <c r="M1" s="418" t="s">
        <v>87</v>
      </c>
      <c r="N1" s="419"/>
      <c r="O1" s="419"/>
      <c r="P1" s="419"/>
      <c r="Q1" s="419"/>
      <c r="R1" s="419"/>
      <c r="S1" s="419"/>
      <c r="T1" s="419"/>
      <c r="U1" s="419"/>
      <c r="V1" s="419"/>
      <c r="W1" s="419"/>
    </row>
    <row r="2" spans="1:23" ht="19" customHeight="1" thickBot="1">
      <c r="A2" s="75"/>
      <c r="B2" s="72"/>
      <c r="C2" s="76"/>
      <c r="D2" s="72"/>
      <c r="E2" s="72"/>
      <c r="F2" s="73"/>
      <c r="G2" s="73"/>
      <c r="M2" s="155" t="s">
        <v>66</v>
      </c>
      <c r="N2" s="153"/>
      <c r="O2" s="155" t="s">
        <v>66</v>
      </c>
      <c r="P2" s="154" t="s">
        <v>67</v>
      </c>
      <c r="Q2" s="162" t="s">
        <v>68</v>
      </c>
      <c r="R2" s="163" t="s">
        <v>91</v>
      </c>
      <c r="S2" s="163" t="s">
        <v>92</v>
      </c>
      <c r="T2" s="157" t="s">
        <v>67</v>
      </c>
      <c r="U2" s="158" t="s">
        <v>69</v>
      </c>
      <c r="V2" s="104"/>
      <c r="W2" s="156" t="s">
        <v>66</v>
      </c>
    </row>
    <row r="3" spans="1:23" ht="20" customHeight="1">
      <c r="A3" s="91" t="s">
        <v>13</v>
      </c>
      <c r="B3" s="95">
        <f>Calculator!B9</f>
        <v>23</v>
      </c>
      <c r="C3" s="73"/>
      <c r="D3" s="62" t="s">
        <v>86</v>
      </c>
      <c r="E3" s="1"/>
      <c r="F3" s="1"/>
      <c r="G3" s="402" t="s">
        <v>86</v>
      </c>
      <c r="H3" s="402" t="s">
        <v>84</v>
      </c>
      <c r="M3" s="152">
        <f>IF(Calculator!B12&lt;90,Calculator!B12+90,Calculator!B12-90)</f>
        <v>90</v>
      </c>
      <c r="N3" s="6">
        <f>IF(M3&gt;180,-180,0)</f>
        <v>0</v>
      </c>
      <c r="O3" s="4">
        <f>M3+N3</f>
        <v>90</v>
      </c>
      <c r="P3" s="3">
        <f>Calculator!B11</f>
        <v>0.15</v>
      </c>
      <c r="Q3" s="107">
        <f>PI()/180*O3</f>
        <v>1.5707963267948966</v>
      </c>
      <c r="R3" s="159">
        <f>P3*COS(2*Q3)</f>
        <v>-0.15</v>
      </c>
      <c r="S3" s="159">
        <f>P3*SIN(2*Q3)</f>
        <v>1.83772268236293E-17</v>
      </c>
      <c r="T3" s="159">
        <f>SQRT(R3*R3+S3*S3)</f>
        <v>0.15</v>
      </c>
      <c r="U3" s="161">
        <f>DEGREES(ATAN((T3-R3)/S3))</f>
        <v>90</v>
      </c>
      <c r="V3" s="160" t="str">
        <f>IF(U3&lt;0,"180","0")</f>
        <v>0</v>
      </c>
      <c r="W3" s="161">
        <f>U3+V3</f>
        <v>90</v>
      </c>
    </row>
    <row r="4" spans="1:23" ht="18" customHeight="1" thickBot="1">
      <c r="A4" s="92" t="s">
        <v>44</v>
      </c>
      <c r="B4" s="93">
        <f>Calculator!B10</f>
        <v>0</v>
      </c>
      <c r="C4" s="73"/>
      <c r="D4" s="66"/>
      <c r="E4" s="232" t="s">
        <v>78</v>
      </c>
      <c r="F4" s="233" t="s">
        <v>69</v>
      </c>
      <c r="G4" s="417"/>
      <c r="H4" s="403"/>
      <c r="N4" s="61"/>
      <c r="O4" s="61"/>
      <c r="P4" s="2"/>
    </row>
    <row r="5" spans="1:23" ht="16">
      <c r="A5" s="18"/>
      <c r="B5" s="18"/>
      <c r="C5" s="73"/>
      <c r="D5" s="69" t="s">
        <v>56</v>
      </c>
      <c r="E5" s="94">
        <f>Calculator!E7</f>
        <v>44</v>
      </c>
      <c r="F5" s="228">
        <f>Calculator!G7</f>
        <v>90</v>
      </c>
      <c r="G5" s="414">
        <f>E5-E6</f>
        <v>2</v>
      </c>
      <c r="H5" s="408">
        <f>Calculator!F16</f>
        <v>1.3179999999999998</v>
      </c>
    </row>
    <row r="6" spans="1:23" ht="18">
      <c r="A6" s="74" t="s">
        <v>54</v>
      </c>
      <c r="B6" s="96"/>
      <c r="C6" s="73"/>
      <c r="D6" s="69" t="s">
        <v>57</v>
      </c>
      <c r="E6" s="94">
        <f>Calculator!E8</f>
        <v>42</v>
      </c>
      <c r="F6" s="228">
        <f>Calculator!G8</f>
        <v>0</v>
      </c>
      <c r="G6" s="415"/>
      <c r="H6" s="409"/>
    </row>
    <row r="7" spans="1:23" ht="18" customHeight="1" thickBot="1">
      <c r="A7" s="73"/>
      <c r="B7" s="73"/>
      <c r="C7" s="73"/>
      <c r="D7" s="70" t="s">
        <v>58</v>
      </c>
      <c r="E7" s="67">
        <f>(E5+E6)/2</f>
        <v>43</v>
      </c>
      <c r="F7" s="229"/>
      <c r="G7" s="416"/>
      <c r="H7" s="410"/>
    </row>
    <row r="8" spans="1:23" ht="17" customHeight="1" thickBot="1">
      <c r="A8" s="73"/>
      <c r="B8" s="73"/>
      <c r="C8" s="73"/>
      <c r="E8" s="77"/>
      <c r="F8" s="73"/>
      <c r="G8" s="73"/>
    </row>
    <row r="9" spans="1:23" ht="16" customHeight="1">
      <c r="A9" s="73"/>
      <c r="B9" s="411" t="s">
        <v>62</v>
      </c>
      <c r="C9" s="412"/>
      <c r="D9" s="412"/>
      <c r="E9" s="413"/>
      <c r="F9" s="73"/>
      <c r="G9" s="73"/>
    </row>
    <row r="10" spans="1:23" ht="18">
      <c r="A10" s="73"/>
      <c r="B10" s="81" t="s">
        <v>7</v>
      </c>
      <c r="C10" s="80" t="s">
        <v>8</v>
      </c>
      <c r="D10" s="80" t="s">
        <v>9</v>
      </c>
      <c r="E10" s="82" t="s">
        <v>63</v>
      </c>
      <c r="F10" s="73"/>
      <c r="G10" s="73"/>
    </row>
    <row r="11" spans="1:23" ht="13" customHeight="1">
      <c r="A11" s="73"/>
      <c r="B11" s="427">
        <f>K91-K90</f>
        <v>1.9200659266649041</v>
      </c>
      <c r="C11" s="423">
        <f>J101-J100</f>
        <v>1.8865959327956254</v>
      </c>
      <c r="D11" s="423">
        <f>Q107-Q106</f>
        <v>1.8727378226791558</v>
      </c>
      <c r="E11" s="425">
        <f>(B11+C11+D11)/3</f>
        <v>1.8931332273798951</v>
      </c>
      <c r="F11" s="73"/>
      <c r="G11" s="73"/>
    </row>
    <row r="12" spans="1:23">
      <c r="A12" s="73"/>
      <c r="B12" s="428"/>
      <c r="C12" s="424"/>
      <c r="D12" s="424"/>
      <c r="E12" s="426"/>
      <c r="F12" s="73"/>
      <c r="G12" s="73"/>
    </row>
    <row r="13" spans="1:23">
      <c r="A13" s="73"/>
      <c r="B13" s="83" t="s">
        <v>10</v>
      </c>
      <c r="C13" s="84" t="s">
        <v>10</v>
      </c>
      <c r="D13" s="84" t="s">
        <v>10</v>
      </c>
      <c r="E13" s="85" t="s">
        <v>10</v>
      </c>
      <c r="F13" s="73"/>
      <c r="G13" s="73"/>
      <c r="N13" s="2"/>
      <c r="O13" s="2"/>
      <c r="P13" s="2"/>
    </row>
    <row r="14" spans="1:23" ht="17" thickBot="1">
      <c r="A14" s="73"/>
      <c r="B14" s="86">
        <f>B11/H5</f>
        <v>1.4568026757700336</v>
      </c>
      <c r="C14" s="87">
        <f>C11/H5</f>
        <v>1.4314081432440255</v>
      </c>
      <c r="D14" s="87">
        <f>D11/H5</f>
        <v>1.4208936439143824</v>
      </c>
      <c r="E14" s="88">
        <f>E11/H5</f>
        <v>1.4363681543094806</v>
      </c>
      <c r="F14" s="73"/>
      <c r="G14" s="73"/>
      <c r="N14" s="2"/>
      <c r="O14" s="2"/>
      <c r="P14" s="2"/>
    </row>
    <row r="15" spans="1:23">
      <c r="A15" s="73"/>
      <c r="B15" s="79"/>
      <c r="C15" s="79"/>
      <c r="D15" s="77"/>
      <c r="E15" s="77"/>
      <c r="F15" s="77"/>
      <c r="G15" s="78"/>
      <c r="N15" s="2"/>
      <c r="O15" s="2"/>
      <c r="P15" s="2"/>
    </row>
    <row r="16" spans="1:23" ht="14" thickBot="1">
      <c r="A16" s="79"/>
      <c r="B16" s="79"/>
      <c r="C16" s="79"/>
      <c r="D16" s="77"/>
      <c r="E16" s="77"/>
      <c r="F16" s="77"/>
      <c r="G16" s="78"/>
      <c r="N16" s="2"/>
      <c r="O16" s="2"/>
      <c r="P16" s="2"/>
    </row>
    <row r="17" spans="1:17" ht="13" customHeight="1">
      <c r="A17" s="79"/>
      <c r="B17" s="79"/>
      <c r="C17" s="79"/>
      <c r="D17" s="77"/>
      <c r="E17" s="77"/>
      <c r="F17" s="149" t="s">
        <v>73</v>
      </c>
      <c r="G17" s="147"/>
      <c r="H17" s="148"/>
      <c r="I17" s="420" t="s">
        <v>59</v>
      </c>
      <c r="J17" s="421"/>
      <c r="K17" s="422"/>
      <c r="Q17" s="2"/>
    </row>
    <row r="18" spans="1:17" ht="26">
      <c r="A18" s="79"/>
      <c r="B18" s="79"/>
      <c r="C18" s="79"/>
      <c r="D18" s="77"/>
      <c r="E18" s="77"/>
      <c r="F18" s="137" t="s">
        <v>70</v>
      </c>
      <c r="G18" s="97" t="s">
        <v>60</v>
      </c>
      <c r="H18" s="98" t="s">
        <v>61</v>
      </c>
      <c r="I18" s="137" t="s">
        <v>70</v>
      </c>
      <c r="J18" s="97" t="s">
        <v>60</v>
      </c>
      <c r="K18" s="98" t="s">
        <v>61</v>
      </c>
      <c r="Q18" s="2"/>
    </row>
    <row r="19" spans="1:17" ht="18">
      <c r="A19" s="79"/>
      <c r="B19" s="79"/>
      <c r="C19" s="79"/>
      <c r="D19" s="77"/>
      <c r="E19" s="77"/>
      <c r="F19" s="99" t="s">
        <v>77</v>
      </c>
      <c r="G19" s="61">
        <v>-1</v>
      </c>
      <c r="H19" s="135">
        <f>G19/$E$14</f>
        <v>-0.69620034181330048</v>
      </c>
      <c r="I19" s="99" t="s">
        <v>77</v>
      </c>
      <c r="J19" s="61">
        <f>E11-1</f>
        <v>0.89313322737989509</v>
      </c>
      <c r="K19" s="100">
        <f>J19/$E$14</f>
        <v>0.62179965818669924</v>
      </c>
      <c r="Q19" s="2"/>
    </row>
    <row r="20" spans="1:17" ht="18">
      <c r="A20" s="79"/>
      <c r="B20" s="79"/>
      <c r="C20" s="79"/>
      <c r="D20" s="77"/>
      <c r="E20" s="77"/>
      <c r="F20" s="99" t="s">
        <v>45</v>
      </c>
      <c r="G20" s="61">
        <v>-1.5</v>
      </c>
      <c r="H20" s="135">
        <f>G20/$E$14</f>
        <v>-1.0443005127199507</v>
      </c>
      <c r="I20" s="99" t="s">
        <v>45</v>
      </c>
      <c r="J20" s="61">
        <f>E11-1.5</f>
        <v>0.39313322737989509</v>
      </c>
      <c r="K20" s="100">
        <f>J20/$E$14</f>
        <v>0.27369948728004895</v>
      </c>
      <c r="Q20" s="2"/>
    </row>
    <row r="21" spans="1:17" ht="18">
      <c r="A21" s="79"/>
      <c r="B21" s="79"/>
      <c r="C21" s="79"/>
      <c r="D21" s="77"/>
      <c r="E21" s="77"/>
      <c r="F21" s="99" t="s">
        <v>46</v>
      </c>
      <c r="G21" s="61">
        <v>-2.25</v>
      </c>
      <c r="H21" s="135">
        <f t="shared" ref="H21:H27" si="0">G21/$E$14</f>
        <v>-1.5664507690799261</v>
      </c>
      <c r="I21" s="99" t="s">
        <v>46</v>
      </c>
      <c r="J21" s="61">
        <f>E11-2.25</f>
        <v>-0.35686677262010491</v>
      </c>
      <c r="K21" s="100">
        <f t="shared" ref="K21:K27" si="1">J21/$E$14</f>
        <v>-0.24845076907992644</v>
      </c>
      <c r="Q21" s="2"/>
    </row>
    <row r="22" spans="1:17" ht="18">
      <c r="A22" s="79"/>
      <c r="B22" s="79"/>
      <c r="C22" s="79"/>
      <c r="D22" s="77"/>
      <c r="E22" s="77"/>
      <c r="F22" s="99" t="s">
        <v>47</v>
      </c>
      <c r="G22" s="61">
        <v>-3</v>
      </c>
      <c r="H22" s="135">
        <f t="shared" si="0"/>
        <v>-2.0886010254399014</v>
      </c>
      <c r="I22" s="99" t="s">
        <v>47</v>
      </c>
      <c r="J22" s="61">
        <f>E11-3</f>
        <v>-1.1068667726201049</v>
      </c>
      <c r="K22" s="100">
        <f t="shared" si="1"/>
        <v>-0.77060102543990183</v>
      </c>
      <c r="Q22" s="2"/>
    </row>
    <row r="23" spans="1:17" ht="18">
      <c r="A23" s="79"/>
      <c r="B23" s="79"/>
      <c r="C23" s="79"/>
      <c r="D23" s="77"/>
      <c r="E23" s="77"/>
      <c r="F23" s="99" t="s">
        <v>48</v>
      </c>
      <c r="G23" s="61">
        <v>-3.75</v>
      </c>
      <c r="H23" s="135">
        <f t="shared" si="0"/>
        <v>-2.6107512817998768</v>
      </c>
      <c r="I23" s="99" t="s">
        <v>48</v>
      </c>
      <c r="J23" s="61">
        <f>E11-3.75</f>
        <v>-1.8568667726201049</v>
      </c>
      <c r="K23" s="100">
        <f t="shared" si="1"/>
        <v>-1.2927512817998772</v>
      </c>
      <c r="Q23" s="2"/>
    </row>
    <row r="24" spans="1:17" ht="18">
      <c r="A24" s="79"/>
      <c r="B24" s="79"/>
      <c r="C24" s="79"/>
      <c r="D24" s="77"/>
      <c r="E24" s="77"/>
      <c r="F24" s="99"/>
      <c r="G24" s="61">
        <v>-4</v>
      </c>
      <c r="H24" s="135">
        <f t="shared" si="0"/>
        <v>-2.7848013672532019</v>
      </c>
      <c r="I24" s="99"/>
      <c r="J24" s="61">
        <f>E11-4</f>
        <v>-2.1068667726201049</v>
      </c>
      <c r="K24" s="100">
        <f t="shared" si="1"/>
        <v>-1.4668013672532023</v>
      </c>
      <c r="Q24" s="2"/>
    </row>
    <row r="25" spans="1:17" ht="18">
      <c r="A25" s="79"/>
      <c r="B25" s="79"/>
      <c r="C25" s="79"/>
      <c r="D25" s="77"/>
      <c r="E25" s="77"/>
      <c r="F25" s="99" t="s">
        <v>49</v>
      </c>
      <c r="G25" s="61">
        <v>-4.5</v>
      </c>
      <c r="H25" s="135">
        <f t="shared" si="0"/>
        <v>-3.1329015381598522</v>
      </c>
      <c r="I25" s="99" t="s">
        <v>49</v>
      </c>
      <c r="J25" s="61">
        <f>E11-4.5</f>
        <v>-2.6068667726201049</v>
      </c>
      <c r="K25" s="100">
        <f t="shared" si="1"/>
        <v>-1.8149015381598526</v>
      </c>
      <c r="Q25" s="2"/>
    </row>
    <row r="26" spans="1:17" ht="18">
      <c r="A26" s="79"/>
      <c r="B26" s="79"/>
      <c r="C26" s="79"/>
      <c r="D26" s="77"/>
      <c r="E26" s="77"/>
      <c r="F26" s="99" t="s">
        <v>50</v>
      </c>
      <c r="G26" s="61">
        <v>-5.25</v>
      </c>
      <c r="H26" s="135">
        <f t="shared" si="0"/>
        <v>-3.655051794519828</v>
      </c>
      <c r="I26" s="99" t="s">
        <v>50</v>
      </c>
      <c r="J26" s="61">
        <f>E11-5.25</f>
        <v>-3.3568667726201049</v>
      </c>
      <c r="K26" s="100">
        <f t="shared" si="1"/>
        <v>-2.3370517945198279</v>
      </c>
      <c r="Q26" s="2"/>
    </row>
    <row r="27" spans="1:17" s="18" customFormat="1" ht="19" thickBot="1">
      <c r="A27" s="6"/>
      <c r="B27" s="6"/>
      <c r="C27" s="6"/>
      <c r="D27" s="3"/>
      <c r="E27" s="3"/>
      <c r="F27" s="101" t="s">
        <v>51</v>
      </c>
      <c r="G27" s="102">
        <v>-6</v>
      </c>
      <c r="H27" s="136">
        <f t="shared" si="0"/>
        <v>-4.1772020508798029</v>
      </c>
      <c r="I27" s="101" t="s">
        <v>51</v>
      </c>
      <c r="J27" s="102">
        <f>E11-6</f>
        <v>-4.1068667726201049</v>
      </c>
      <c r="K27" s="136">
        <f t="shared" si="1"/>
        <v>-2.8592020508798033</v>
      </c>
      <c r="Q27" s="2"/>
    </row>
    <row r="28" spans="1:17" s="18" customFormat="1">
      <c r="A28" s="6"/>
      <c r="B28" s="6"/>
      <c r="C28" s="6"/>
      <c r="D28" s="3"/>
      <c r="E28" s="3"/>
      <c r="F28" s="3"/>
      <c r="G28" s="4"/>
      <c r="N28" s="2"/>
      <c r="O28" s="2"/>
      <c r="P28" s="2"/>
    </row>
    <row r="29" spans="1:17" s="18" customFormat="1">
      <c r="F29" s="3"/>
      <c r="G29" s="4"/>
      <c r="N29" s="2"/>
      <c r="O29" s="2"/>
      <c r="P29" s="2"/>
    </row>
    <row r="30" spans="1:17" s="18" customFormat="1">
      <c r="F30" s="3"/>
      <c r="G30" s="4"/>
      <c r="N30" s="2"/>
      <c r="O30" s="2"/>
      <c r="P30" s="2"/>
    </row>
    <row r="31" spans="1:17" s="18" customFormat="1">
      <c r="F31" s="3"/>
      <c r="G31" s="4"/>
      <c r="N31" s="2"/>
      <c r="O31" s="2"/>
      <c r="P31" s="2"/>
    </row>
    <row r="32" spans="1:17" s="18" customFormat="1">
      <c r="A32" s="6"/>
      <c r="B32" s="6"/>
      <c r="C32" s="6"/>
      <c r="D32" s="3"/>
      <c r="E32" s="3"/>
      <c r="F32" s="3"/>
      <c r="G32" s="4"/>
      <c r="N32" s="2"/>
      <c r="O32" s="2"/>
      <c r="P32" s="2"/>
    </row>
    <row r="33" spans="1:22" s="18" customFormat="1">
      <c r="A33" s="6"/>
      <c r="B33" s="6"/>
      <c r="C33" s="6"/>
      <c r="D33" s="3"/>
      <c r="E33" s="3"/>
      <c r="F33" s="3"/>
      <c r="G33" s="4"/>
      <c r="N33" s="2"/>
      <c r="O33" s="2"/>
      <c r="P33" s="2"/>
    </row>
    <row r="34" spans="1:22" ht="28" customHeight="1">
      <c r="B34" s="6"/>
      <c r="C34" s="110" t="s">
        <v>67</v>
      </c>
      <c r="D34" s="111" t="s">
        <v>66</v>
      </c>
      <c r="E34" s="111" t="s">
        <v>68</v>
      </c>
      <c r="G34" s="114"/>
      <c r="H34" s="112" t="s">
        <v>2</v>
      </c>
      <c r="I34" s="113" t="s">
        <v>66</v>
      </c>
      <c r="J34" s="112" t="s">
        <v>67</v>
      </c>
      <c r="K34" s="113" t="s">
        <v>68</v>
      </c>
      <c r="L34" s="114"/>
      <c r="M34" s="115"/>
      <c r="N34" s="115"/>
    </row>
    <row r="35" spans="1:22" ht="16" customHeight="1">
      <c r="B35" s="6"/>
      <c r="C35" s="116">
        <f t="shared" ref="C35:C43" si="2">$H$5</f>
        <v>1.3179999999999998</v>
      </c>
      <c r="D35" s="132">
        <f>$F$5</f>
        <v>90</v>
      </c>
      <c r="E35" s="117">
        <f t="shared" ref="E35:E43" si="3">PI()/180*D35</f>
        <v>1.5707963267948966</v>
      </c>
      <c r="G35" s="114"/>
      <c r="H35" s="179" t="s">
        <v>77</v>
      </c>
      <c r="I35" s="138">
        <f>C75</f>
        <v>90</v>
      </c>
      <c r="J35" s="119">
        <f t="shared" ref="J35:J43" si="4">H19</f>
        <v>-0.69620034181330048</v>
      </c>
      <c r="K35" s="120">
        <f>PI()/180*I35</f>
        <v>1.5707963267948966</v>
      </c>
      <c r="L35" s="114"/>
      <c r="M35" s="115"/>
      <c r="N35" s="115"/>
    </row>
    <row r="36" spans="1:22">
      <c r="B36" s="6"/>
      <c r="C36" s="116">
        <f t="shared" si="2"/>
        <v>1.3179999999999998</v>
      </c>
      <c r="D36" s="132">
        <f>$F$5</f>
        <v>90</v>
      </c>
      <c r="E36" s="117">
        <f t="shared" si="3"/>
        <v>1.5707963267948966</v>
      </c>
      <c r="G36" s="121"/>
      <c r="H36" s="119" t="s">
        <v>45</v>
      </c>
      <c r="I36" s="138">
        <f>C76</f>
        <v>90</v>
      </c>
      <c r="J36" s="119">
        <f t="shared" si="4"/>
        <v>-1.0443005127199507</v>
      </c>
      <c r="K36" s="120">
        <f>PI()/180*I36</f>
        <v>1.5707963267948966</v>
      </c>
      <c r="L36" s="121"/>
      <c r="M36" s="115"/>
      <c r="N36" s="115"/>
    </row>
    <row r="37" spans="1:22">
      <c r="B37" s="6"/>
      <c r="C37" s="116">
        <f t="shared" si="2"/>
        <v>1.3179999999999998</v>
      </c>
      <c r="D37" s="132">
        <f t="shared" ref="D37:D43" si="5">$F$5</f>
        <v>90</v>
      </c>
      <c r="E37" s="117">
        <f t="shared" si="3"/>
        <v>1.5707963267948966</v>
      </c>
      <c r="G37" s="121"/>
      <c r="H37" s="119" t="s">
        <v>46</v>
      </c>
      <c r="I37" s="138">
        <f>C77</f>
        <v>90</v>
      </c>
      <c r="J37" s="119">
        <f t="shared" si="4"/>
        <v>-1.5664507690799261</v>
      </c>
      <c r="K37" s="120">
        <f t="shared" ref="K37:K43" si="6">PI()/180*I37</f>
        <v>1.5707963267948966</v>
      </c>
      <c r="L37" s="121"/>
      <c r="M37" s="115"/>
      <c r="N37" s="115"/>
    </row>
    <row r="38" spans="1:22">
      <c r="B38" s="6"/>
      <c r="C38" s="116">
        <f t="shared" si="2"/>
        <v>1.3179999999999998</v>
      </c>
      <c r="D38" s="132">
        <f t="shared" si="5"/>
        <v>90</v>
      </c>
      <c r="E38" s="117">
        <f t="shared" si="3"/>
        <v>1.5707963267948966</v>
      </c>
      <c r="G38" s="121"/>
      <c r="H38" s="119" t="s">
        <v>47</v>
      </c>
      <c r="I38" s="138">
        <f>C78</f>
        <v>90</v>
      </c>
      <c r="J38" s="119">
        <f t="shared" si="4"/>
        <v>-2.0886010254399014</v>
      </c>
      <c r="K38" s="120">
        <f t="shared" si="6"/>
        <v>1.5707963267948966</v>
      </c>
      <c r="L38" s="121"/>
      <c r="M38" s="122"/>
      <c r="N38" s="122"/>
    </row>
    <row r="39" spans="1:22">
      <c r="B39" s="6"/>
      <c r="C39" s="116">
        <f t="shared" si="2"/>
        <v>1.3179999999999998</v>
      </c>
      <c r="D39" s="132">
        <f t="shared" si="5"/>
        <v>90</v>
      </c>
      <c r="E39" s="117">
        <f t="shared" si="3"/>
        <v>1.5707963267948966</v>
      </c>
      <c r="G39" s="121"/>
      <c r="H39" s="119" t="s">
        <v>48</v>
      </c>
      <c r="I39" s="138">
        <f>C79</f>
        <v>90</v>
      </c>
      <c r="J39" s="119">
        <f t="shared" si="4"/>
        <v>-2.6107512817998768</v>
      </c>
      <c r="K39" s="120">
        <f t="shared" si="6"/>
        <v>1.5707963267948966</v>
      </c>
      <c r="L39" s="121"/>
      <c r="M39" s="122"/>
      <c r="N39" s="122"/>
    </row>
    <row r="40" spans="1:22">
      <c r="B40" s="6"/>
      <c r="C40" s="116">
        <f t="shared" si="2"/>
        <v>1.3179999999999998</v>
      </c>
      <c r="D40" s="132">
        <f t="shared" si="5"/>
        <v>90</v>
      </c>
      <c r="E40" s="117">
        <f t="shared" ref="E40" si="7">PI()/180*D40</f>
        <v>1.5707963267948966</v>
      </c>
      <c r="G40" s="121"/>
      <c r="H40" s="119"/>
      <c r="I40" s="138">
        <f>C81</f>
        <v>90</v>
      </c>
      <c r="J40" s="119">
        <f t="shared" si="4"/>
        <v>-2.7848013672532019</v>
      </c>
      <c r="K40" s="120">
        <f t="shared" ref="K40" si="8">PI()/180*I40</f>
        <v>1.5707963267948966</v>
      </c>
      <c r="L40" s="121"/>
      <c r="M40" s="122"/>
      <c r="N40" s="122"/>
    </row>
    <row r="41" spans="1:22">
      <c r="B41" s="6"/>
      <c r="C41" s="116">
        <f t="shared" si="2"/>
        <v>1.3179999999999998</v>
      </c>
      <c r="D41" s="132">
        <f t="shared" si="5"/>
        <v>90</v>
      </c>
      <c r="E41" s="117">
        <f t="shared" si="3"/>
        <v>1.5707963267948966</v>
      </c>
      <c r="G41" s="121"/>
      <c r="H41" s="119" t="s">
        <v>49</v>
      </c>
      <c r="I41" s="138">
        <f t="shared" ref="I41:I43" si="9">C81</f>
        <v>90</v>
      </c>
      <c r="J41" s="119">
        <f t="shared" si="4"/>
        <v>-3.1329015381598522</v>
      </c>
      <c r="K41" s="120">
        <f t="shared" si="6"/>
        <v>1.5707963267948966</v>
      </c>
      <c r="L41" s="121"/>
      <c r="M41" s="122"/>
      <c r="N41" s="122"/>
    </row>
    <row r="42" spans="1:22">
      <c r="B42" s="6"/>
      <c r="C42" s="116">
        <f t="shared" si="2"/>
        <v>1.3179999999999998</v>
      </c>
      <c r="D42" s="132">
        <f t="shared" si="5"/>
        <v>90</v>
      </c>
      <c r="E42" s="117">
        <f t="shared" si="3"/>
        <v>1.5707963267948966</v>
      </c>
      <c r="G42" s="121"/>
      <c r="H42" s="119" t="s">
        <v>50</v>
      </c>
      <c r="I42" s="138">
        <f t="shared" si="9"/>
        <v>90</v>
      </c>
      <c r="J42" s="119">
        <f t="shared" si="4"/>
        <v>-3.655051794519828</v>
      </c>
      <c r="K42" s="120">
        <f t="shared" si="6"/>
        <v>1.5707963267948966</v>
      </c>
      <c r="L42" s="121"/>
      <c r="M42" s="122"/>
      <c r="N42" s="122"/>
    </row>
    <row r="43" spans="1:22">
      <c r="B43" s="6"/>
      <c r="C43" s="116">
        <f t="shared" si="2"/>
        <v>1.3179999999999998</v>
      </c>
      <c r="D43" s="132">
        <f t="shared" si="5"/>
        <v>90</v>
      </c>
      <c r="E43" s="117">
        <f t="shared" si="3"/>
        <v>1.5707963267948966</v>
      </c>
      <c r="G43" s="121"/>
      <c r="H43" s="119" t="s">
        <v>51</v>
      </c>
      <c r="I43" s="138">
        <f t="shared" si="9"/>
        <v>90</v>
      </c>
      <c r="J43" s="119">
        <f t="shared" si="4"/>
        <v>-4.1772020508798029</v>
      </c>
      <c r="K43" s="120">
        <f t="shared" si="6"/>
        <v>1.5707963267948966</v>
      </c>
      <c r="L43" s="121"/>
      <c r="M43" s="122"/>
      <c r="N43" s="122"/>
    </row>
    <row r="44" spans="1:22" s="18" customFormat="1" ht="14" thickBot="1">
      <c r="A44" s="121"/>
      <c r="B44" s="123"/>
      <c r="C44" s="123"/>
      <c r="D44" s="121"/>
      <c r="E44" s="123"/>
      <c r="F44" s="124"/>
      <c r="G44" s="121"/>
      <c r="H44" s="123"/>
      <c r="I44" s="123"/>
      <c r="J44" s="121"/>
      <c r="K44" s="123"/>
      <c r="L44" s="124"/>
      <c r="M44" s="121"/>
      <c r="N44" s="123"/>
      <c r="O44" s="123"/>
      <c r="P44" s="106"/>
      <c r="Q44" s="106"/>
      <c r="R44" s="108"/>
      <c r="S44" s="106"/>
    </row>
    <row r="45" spans="1:22" s="18" customFormat="1" ht="27" customHeight="1">
      <c r="A45" s="405" t="s">
        <v>88</v>
      </c>
      <c r="B45" s="406"/>
      <c r="C45" s="406"/>
      <c r="D45" s="406"/>
      <c r="E45" s="406"/>
      <c r="F45" s="406"/>
      <c r="G45" s="406"/>
      <c r="H45" s="406"/>
      <c r="I45" s="406"/>
      <c r="J45" s="406"/>
      <c r="K45" s="406"/>
      <c r="L45" s="406"/>
      <c r="M45" s="406"/>
      <c r="N45" s="406"/>
      <c r="O45" s="406"/>
      <c r="P45" s="406"/>
      <c r="Q45" s="407"/>
      <c r="R45" s="108"/>
      <c r="S45" s="106"/>
    </row>
    <row r="46" spans="1:22" s="18" customFormat="1">
      <c r="A46" s="164"/>
      <c r="B46" s="123"/>
      <c r="C46" s="123"/>
      <c r="D46" s="121"/>
      <c r="E46" s="123"/>
      <c r="F46" s="124"/>
      <c r="G46" s="121"/>
      <c r="H46" s="123"/>
      <c r="I46" s="123"/>
      <c r="J46" s="121"/>
      <c r="K46" s="123"/>
      <c r="L46" s="124"/>
      <c r="M46" s="121"/>
      <c r="N46" s="123"/>
      <c r="O46" s="123"/>
      <c r="P46" s="123"/>
      <c r="Q46" s="251"/>
      <c r="R46" s="108"/>
      <c r="S46" s="106"/>
    </row>
    <row r="47" spans="1:22" s="18" customFormat="1">
      <c r="A47" s="166"/>
      <c r="B47" s="151"/>
      <c r="C47" s="238" t="s">
        <v>84</v>
      </c>
      <c r="D47" s="133"/>
      <c r="E47" s="134"/>
      <c r="F47" s="134"/>
      <c r="G47" s="134"/>
      <c r="H47" s="133" t="s">
        <v>2</v>
      </c>
      <c r="I47" s="133"/>
      <c r="J47" s="133"/>
      <c r="K47" s="151"/>
      <c r="L47" s="151"/>
      <c r="M47" s="234" t="s">
        <v>94</v>
      </c>
      <c r="N47" s="133"/>
      <c r="O47" s="123"/>
      <c r="P47" s="123"/>
      <c r="Q47" s="251"/>
      <c r="R47" s="106"/>
      <c r="S47" s="106"/>
      <c r="T47" s="109"/>
      <c r="U47" s="109"/>
      <c r="V47" s="109"/>
    </row>
    <row r="48" spans="1:22" s="18" customFormat="1">
      <c r="A48" s="166"/>
      <c r="B48" s="151"/>
      <c r="C48" s="127" t="s">
        <v>91</v>
      </c>
      <c r="D48" s="127" t="s">
        <v>92</v>
      </c>
      <c r="E48" s="134"/>
      <c r="F48" s="134"/>
      <c r="G48" s="134"/>
      <c r="H48" s="118"/>
      <c r="I48" s="119" t="s">
        <v>91</v>
      </c>
      <c r="J48" s="119" t="s">
        <v>92</v>
      </c>
      <c r="K48" s="121"/>
      <c r="L48" s="151"/>
      <c r="M48" s="128" t="s">
        <v>91</v>
      </c>
      <c r="N48" s="128" t="s">
        <v>92</v>
      </c>
      <c r="O48" s="123"/>
      <c r="P48" s="123"/>
      <c r="Q48" s="251"/>
      <c r="R48" s="109"/>
      <c r="S48" s="106"/>
      <c r="T48" s="109"/>
      <c r="U48" s="109"/>
      <c r="V48" s="109"/>
    </row>
    <row r="49" spans="1:22" s="18" customFormat="1">
      <c r="A49" s="166"/>
      <c r="B49" s="151"/>
      <c r="C49" s="127">
        <f t="shared" ref="C49:C57" si="10">C35*COS(2*E35)</f>
        <v>-1.3179999999999998</v>
      </c>
      <c r="D49" s="127">
        <f t="shared" ref="D49:D57" si="11">C35*SIN(2*E35)</f>
        <v>1.6147456635695611E-16</v>
      </c>
      <c r="E49" s="134"/>
      <c r="F49" s="134"/>
      <c r="G49" s="134"/>
      <c r="H49" s="179" t="s">
        <v>77</v>
      </c>
      <c r="I49" s="119">
        <f t="shared" ref="I49:I57" si="12">J35*COS(2*K35)</f>
        <v>0.69620034181330048</v>
      </c>
      <c r="J49" s="119">
        <f t="shared" ref="J49:J57" si="13">J35*SIN(2*K35)</f>
        <v>-8.5294877307941815E-17</v>
      </c>
      <c r="K49" s="121"/>
      <c r="L49" s="151"/>
      <c r="M49" s="128">
        <f t="shared" ref="M49:N57" si="14">I49+C49</f>
        <v>-0.62179965818669936</v>
      </c>
      <c r="N49" s="128">
        <f t="shared" si="14"/>
        <v>7.6179689049014294E-17</v>
      </c>
      <c r="O49" s="123"/>
      <c r="P49" s="123"/>
      <c r="Q49" s="251"/>
      <c r="R49" s="109"/>
      <c r="S49" s="106"/>
      <c r="T49" s="109"/>
      <c r="U49" s="109"/>
      <c r="V49" s="109"/>
    </row>
    <row r="50" spans="1:22" s="18" customFormat="1">
      <c r="A50" s="166"/>
      <c r="B50" s="151"/>
      <c r="C50" s="127">
        <f t="shared" si="10"/>
        <v>-1.3179999999999998</v>
      </c>
      <c r="D50" s="127">
        <f t="shared" si="11"/>
        <v>1.6147456635695611E-16</v>
      </c>
      <c r="E50" s="134"/>
      <c r="F50" s="134"/>
      <c r="G50" s="134"/>
      <c r="H50" s="119" t="s">
        <v>45</v>
      </c>
      <c r="I50" s="119">
        <f t="shared" si="12"/>
        <v>1.0443005127199507</v>
      </c>
      <c r="J50" s="119">
        <f t="shared" si="13"/>
        <v>-1.2794231596191272E-16</v>
      </c>
      <c r="K50" s="123"/>
      <c r="L50" s="151"/>
      <c r="M50" s="128">
        <f t="shared" si="14"/>
        <v>-0.27369948728004911</v>
      </c>
      <c r="N50" s="128">
        <f t="shared" si="14"/>
        <v>3.3532250395043386E-17</v>
      </c>
      <c r="O50" s="123"/>
      <c r="P50" s="123"/>
      <c r="Q50" s="251"/>
      <c r="R50" s="109"/>
      <c r="S50" s="106"/>
      <c r="T50" s="109"/>
      <c r="U50" s="109"/>
      <c r="V50" s="109"/>
    </row>
    <row r="51" spans="1:22" s="18" customFormat="1">
      <c r="A51" s="166"/>
      <c r="B51" s="151"/>
      <c r="C51" s="127">
        <f t="shared" si="10"/>
        <v>-1.3179999999999998</v>
      </c>
      <c r="D51" s="127">
        <f t="shared" si="11"/>
        <v>1.6147456635695611E-16</v>
      </c>
      <c r="E51" s="134"/>
      <c r="F51" s="134"/>
      <c r="G51" s="134"/>
      <c r="H51" s="119" t="s">
        <v>46</v>
      </c>
      <c r="I51" s="119">
        <f t="shared" si="12"/>
        <v>1.5664507690799261</v>
      </c>
      <c r="J51" s="119">
        <f t="shared" si="13"/>
        <v>-1.9191347394286911E-16</v>
      </c>
      <c r="K51" s="123"/>
      <c r="L51" s="151"/>
      <c r="M51" s="128">
        <f t="shared" si="14"/>
        <v>0.24845076907992625</v>
      </c>
      <c r="N51" s="128">
        <f t="shared" si="14"/>
        <v>-3.0438907585912999E-17</v>
      </c>
      <c r="O51" s="123"/>
      <c r="P51" s="123"/>
      <c r="Q51" s="251"/>
      <c r="R51" s="109"/>
      <c r="S51" s="106"/>
      <c r="T51" s="109"/>
      <c r="U51" s="109"/>
      <c r="V51" s="109"/>
    </row>
    <row r="52" spans="1:22" s="18" customFormat="1">
      <c r="A52" s="166"/>
      <c r="B52" s="151"/>
      <c r="C52" s="127">
        <f t="shared" si="10"/>
        <v>-1.3179999999999998</v>
      </c>
      <c r="D52" s="127">
        <f t="shared" si="11"/>
        <v>1.6147456635695611E-16</v>
      </c>
      <c r="E52" s="134"/>
      <c r="F52" s="134"/>
      <c r="G52" s="134"/>
      <c r="H52" s="119" t="s">
        <v>47</v>
      </c>
      <c r="I52" s="119">
        <f t="shared" si="12"/>
        <v>2.0886010254399014</v>
      </c>
      <c r="J52" s="119">
        <f t="shared" si="13"/>
        <v>-2.5588463192382544E-16</v>
      </c>
      <c r="K52" s="123"/>
      <c r="L52" s="151"/>
      <c r="M52" s="128">
        <f t="shared" si="14"/>
        <v>0.77060102543990161</v>
      </c>
      <c r="N52" s="128">
        <f t="shared" si="14"/>
        <v>-9.4410065566869336E-17</v>
      </c>
      <c r="O52" s="123"/>
      <c r="P52" s="123"/>
      <c r="Q52" s="251"/>
      <c r="R52" s="109"/>
      <c r="S52" s="106"/>
      <c r="T52" s="109"/>
      <c r="U52" s="109"/>
      <c r="V52" s="109"/>
    </row>
    <row r="53" spans="1:22" s="18" customFormat="1">
      <c r="A53" s="166"/>
      <c r="B53" s="151"/>
      <c r="C53" s="127">
        <f t="shared" si="10"/>
        <v>-1.3179999999999998</v>
      </c>
      <c r="D53" s="127">
        <f t="shared" si="11"/>
        <v>1.6147456635695611E-16</v>
      </c>
      <c r="E53" s="134"/>
      <c r="F53" s="134"/>
      <c r="G53" s="134"/>
      <c r="H53" s="119" t="s">
        <v>48</v>
      </c>
      <c r="I53" s="119">
        <f t="shared" si="12"/>
        <v>2.6107512817998768</v>
      </c>
      <c r="J53" s="119">
        <f t="shared" si="13"/>
        <v>-3.1985578990478183E-16</v>
      </c>
      <c r="K53" s="123"/>
      <c r="L53" s="151"/>
      <c r="M53" s="128">
        <f t="shared" si="14"/>
        <v>1.292751281799877</v>
      </c>
      <c r="N53" s="128">
        <f t="shared" si="14"/>
        <v>-1.5838122354782572E-16</v>
      </c>
      <c r="O53" s="123"/>
      <c r="P53" s="123"/>
      <c r="Q53" s="251"/>
      <c r="R53" s="109"/>
      <c r="S53" s="106"/>
      <c r="T53" s="109"/>
      <c r="U53" s="109"/>
      <c r="V53" s="109"/>
    </row>
    <row r="54" spans="1:22" s="18" customFormat="1">
      <c r="A54" s="166"/>
      <c r="B54" s="151"/>
      <c r="C54" s="127">
        <f t="shared" si="10"/>
        <v>-1.3179999999999998</v>
      </c>
      <c r="D54" s="127">
        <f t="shared" si="11"/>
        <v>1.6147456635695611E-16</v>
      </c>
      <c r="E54" s="134"/>
      <c r="F54" s="134"/>
      <c r="G54" s="134"/>
      <c r="H54" s="119"/>
      <c r="I54" s="119">
        <f t="shared" si="12"/>
        <v>2.7848013672532019</v>
      </c>
      <c r="J54" s="119">
        <f t="shared" si="13"/>
        <v>-3.4117950923176726E-16</v>
      </c>
      <c r="K54" s="123"/>
      <c r="L54" s="151"/>
      <c r="M54" s="128">
        <f t="shared" ref="M54" si="15">I54+C54</f>
        <v>1.4668013672532021</v>
      </c>
      <c r="N54" s="128">
        <f t="shared" ref="N54" si="16">J54+D54</f>
        <v>-1.7970494287481115E-16</v>
      </c>
      <c r="O54" s="123"/>
      <c r="P54" s="123"/>
      <c r="Q54" s="251"/>
      <c r="R54" s="109"/>
      <c r="S54" s="106"/>
      <c r="T54" s="109"/>
      <c r="U54" s="109"/>
      <c r="V54" s="109"/>
    </row>
    <row r="55" spans="1:22" s="18" customFormat="1">
      <c r="A55" s="166"/>
      <c r="B55" s="151"/>
      <c r="C55" s="127">
        <f t="shared" si="10"/>
        <v>-1.3179999999999998</v>
      </c>
      <c r="D55" s="127">
        <f t="shared" si="11"/>
        <v>1.6147456635695611E-16</v>
      </c>
      <c r="E55" s="134"/>
      <c r="F55" s="134"/>
      <c r="G55" s="134"/>
      <c r="H55" s="119" t="s">
        <v>49</v>
      </c>
      <c r="I55" s="119">
        <f t="shared" si="12"/>
        <v>3.1329015381598522</v>
      </c>
      <c r="J55" s="119">
        <f t="shared" si="13"/>
        <v>-3.8382694788573822E-16</v>
      </c>
      <c r="K55" s="123"/>
      <c r="L55" s="151"/>
      <c r="M55" s="128">
        <f t="shared" si="14"/>
        <v>1.8149015381598523</v>
      </c>
      <c r="N55" s="128">
        <f t="shared" si="14"/>
        <v>-2.2235238152878208E-16</v>
      </c>
      <c r="O55" s="123"/>
      <c r="P55" s="123"/>
      <c r="Q55" s="251"/>
      <c r="R55" s="109"/>
      <c r="S55" s="106"/>
      <c r="T55" s="109"/>
      <c r="U55" s="109"/>
      <c r="V55" s="109"/>
    </row>
    <row r="56" spans="1:22" s="18" customFormat="1">
      <c r="A56" s="166"/>
      <c r="B56" s="151"/>
      <c r="C56" s="127">
        <f t="shared" si="10"/>
        <v>-1.3179999999999998</v>
      </c>
      <c r="D56" s="127">
        <f t="shared" si="11"/>
        <v>1.6147456635695611E-16</v>
      </c>
      <c r="E56" s="134"/>
      <c r="F56" s="134"/>
      <c r="G56" s="134"/>
      <c r="H56" s="119" t="s">
        <v>50</v>
      </c>
      <c r="I56" s="119">
        <f t="shared" si="12"/>
        <v>3.655051794519828</v>
      </c>
      <c r="J56" s="119">
        <f t="shared" si="13"/>
        <v>-4.477981058666946E-16</v>
      </c>
      <c r="K56" s="123"/>
      <c r="L56" s="151"/>
      <c r="M56" s="128">
        <f t="shared" si="14"/>
        <v>2.3370517945198284</v>
      </c>
      <c r="N56" s="128">
        <f t="shared" si="14"/>
        <v>-2.8632353950973847E-16</v>
      </c>
      <c r="O56" s="123"/>
      <c r="P56" s="123"/>
      <c r="Q56" s="251"/>
      <c r="R56" s="109"/>
      <c r="S56" s="106"/>
      <c r="T56" s="109"/>
      <c r="U56" s="109"/>
      <c r="V56" s="109"/>
    </row>
    <row r="57" spans="1:22" s="18" customFormat="1">
      <c r="A57" s="166"/>
      <c r="B57" s="151"/>
      <c r="C57" s="127">
        <f t="shared" si="10"/>
        <v>-1.3179999999999998</v>
      </c>
      <c r="D57" s="127">
        <f t="shared" si="11"/>
        <v>1.6147456635695611E-16</v>
      </c>
      <c r="E57" s="134"/>
      <c r="F57" s="134"/>
      <c r="G57" s="134"/>
      <c r="H57" s="119" t="s">
        <v>51</v>
      </c>
      <c r="I57" s="119">
        <f t="shared" si="12"/>
        <v>4.1772020508798029</v>
      </c>
      <c r="J57" s="119">
        <f t="shared" si="13"/>
        <v>-5.1176926384765089E-16</v>
      </c>
      <c r="K57" s="123"/>
      <c r="L57" s="151"/>
      <c r="M57" s="128">
        <f t="shared" si="14"/>
        <v>2.8592020508798033</v>
      </c>
      <c r="N57" s="128">
        <f t="shared" si="14"/>
        <v>-3.5029469749069476E-16</v>
      </c>
      <c r="O57" s="123"/>
      <c r="P57" s="123"/>
      <c r="Q57" s="251"/>
      <c r="R57" s="109"/>
      <c r="S57" s="106"/>
      <c r="T57" s="109"/>
      <c r="U57" s="109"/>
      <c r="V57" s="109"/>
    </row>
    <row r="58" spans="1:22" s="18" customFormat="1" ht="14" thickBot="1">
      <c r="A58" s="168"/>
      <c r="B58" s="169"/>
      <c r="C58" s="170"/>
      <c r="D58" s="170"/>
      <c r="E58" s="171"/>
      <c r="F58" s="171"/>
      <c r="G58" s="169"/>
      <c r="H58" s="169"/>
      <c r="I58" s="170"/>
      <c r="J58" s="170"/>
      <c r="K58" s="171"/>
      <c r="L58" s="171"/>
      <c r="M58" s="169"/>
      <c r="N58" s="169"/>
      <c r="O58" s="170"/>
      <c r="P58" s="170"/>
      <c r="Q58" s="252"/>
      <c r="R58" s="106"/>
      <c r="S58" s="106"/>
      <c r="T58" s="109"/>
    </row>
    <row r="59" spans="1:22" s="18" customFormat="1" ht="27" customHeight="1">
      <c r="A59" s="405" t="s">
        <v>89</v>
      </c>
      <c r="B59" s="406"/>
      <c r="C59" s="406"/>
      <c r="D59" s="406"/>
      <c r="E59" s="406"/>
      <c r="F59" s="406"/>
      <c r="G59" s="406"/>
      <c r="H59" s="406"/>
      <c r="I59" s="406"/>
      <c r="J59" s="406"/>
      <c r="K59" s="406"/>
      <c r="L59" s="406"/>
      <c r="M59" s="406"/>
      <c r="N59" s="406"/>
      <c r="O59" s="406"/>
      <c r="P59" s="406"/>
      <c r="Q59" s="407"/>
      <c r="R59" s="106"/>
      <c r="S59" s="106"/>
      <c r="T59" s="109"/>
    </row>
    <row r="60" spans="1:22" s="18" customFormat="1">
      <c r="A60" s="173"/>
      <c r="B60" s="106"/>
      <c r="C60" s="106"/>
      <c r="D60" s="103"/>
      <c r="E60" s="106"/>
      <c r="F60" s="107"/>
      <c r="G60" s="103"/>
      <c r="H60" s="106"/>
      <c r="I60" s="106"/>
      <c r="J60" s="103"/>
      <c r="K60" s="106"/>
      <c r="L60" s="107"/>
      <c r="M60" s="103"/>
      <c r="N60" s="106"/>
      <c r="O60" s="106"/>
      <c r="P60" s="106"/>
      <c r="Q60" s="165"/>
      <c r="R60" s="108"/>
      <c r="S60" s="106"/>
    </row>
    <row r="61" spans="1:22" s="18" customFormat="1">
      <c r="A61" s="173"/>
      <c r="B61" s="151"/>
      <c r="C61" s="234" t="s">
        <v>96</v>
      </c>
      <c r="D61" s="133"/>
      <c r="E61" s="106"/>
      <c r="F61" s="107"/>
      <c r="G61" s="103"/>
      <c r="H61" s="133" t="s">
        <v>2</v>
      </c>
      <c r="I61" s="133"/>
      <c r="J61" s="133"/>
      <c r="K61" s="106"/>
      <c r="L61" s="151"/>
      <c r="M61" s="234" t="s">
        <v>97</v>
      </c>
      <c r="N61" s="151"/>
      <c r="O61" s="121"/>
      <c r="P61" s="106"/>
      <c r="Q61" s="165"/>
      <c r="R61" s="108"/>
      <c r="S61" s="106"/>
    </row>
    <row r="62" spans="1:22" s="18" customFormat="1">
      <c r="A62" s="173"/>
      <c r="B62" s="151"/>
      <c r="C62" s="127" t="s">
        <v>91</v>
      </c>
      <c r="D62" s="127" t="s">
        <v>92</v>
      </c>
      <c r="E62" s="106"/>
      <c r="F62" s="107"/>
      <c r="G62" s="103"/>
      <c r="H62" s="118"/>
      <c r="I62" s="119" t="s">
        <v>91</v>
      </c>
      <c r="J62" s="119" t="s">
        <v>92</v>
      </c>
      <c r="K62" s="106"/>
      <c r="L62" s="121"/>
      <c r="M62" s="128" t="s">
        <v>91</v>
      </c>
      <c r="N62" s="128" t="s">
        <v>92</v>
      </c>
      <c r="O62" s="106"/>
      <c r="P62" s="106"/>
      <c r="Q62" s="165"/>
      <c r="R62" s="106"/>
    </row>
    <row r="63" spans="1:22" s="18" customFormat="1">
      <c r="A63" s="173"/>
      <c r="B63" s="151"/>
      <c r="C63" s="127">
        <f>C49+$R$3</f>
        <v>-1.4679999999999997</v>
      </c>
      <c r="D63" s="127">
        <f>D49+$S$3</f>
        <v>1.7985179318058541E-16</v>
      </c>
      <c r="E63" s="106"/>
      <c r="F63" s="107"/>
      <c r="G63" s="103"/>
      <c r="H63" s="119" t="s">
        <v>77</v>
      </c>
      <c r="I63" s="119">
        <f t="shared" ref="I63:I71" si="17">J35*COS(2*K35)</f>
        <v>0.69620034181330048</v>
      </c>
      <c r="J63" s="119">
        <f t="shared" ref="J63:J71" si="18">J35*SIN(2*K35)</f>
        <v>-8.5294877307941815E-17</v>
      </c>
      <c r="K63" s="106"/>
      <c r="L63" s="123"/>
      <c r="M63" s="128">
        <f t="shared" ref="M63:N71" si="19">I63+C63</f>
        <v>-0.77179965818669927</v>
      </c>
      <c r="N63" s="128">
        <f t="shared" si="19"/>
        <v>9.4556915872643594E-17</v>
      </c>
      <c r="O63" s="106"/>
      <c r="P63" s="106"/>
      <c r="Q63" s="165"/>
      <c r="R63" s="106"/>
    </row>
    <row r="64" spans="1:22" s="18" customFormat="1">
      <c r="A64" s="173"/>
      <c r="B64" s="151"/>
      <c r="C64" s="127">
        <f>C50+$R$3</f>
        <v>-1.4679999999999997</v>
      </c>
      <c r="D64" s="127">
        <f>D50+$S$3</f>
        <v>1.7985179318058541E-16</v>
      </c>
      <c r="E64" s="106"/>
      <c r="F64" s="107"/>
      <c r="G64" s="103"/>
      <c r="H64" s="119" t="s">
        <v>45</v>
      </c>
      <c r="I64" s="119">
        <f t="shared" si="17"/>
        <v>1.0443005127199507</v>
      </c>
      <c r="J64" s="119">
        <f t="shared" si="18"/>
        <v>-1.2794231596191272E-16</v>
      </c>
      <c r="K64" s="106"/>
      <c r="L64" s="123"/>
      <c r="M64" s="128">
        <f t="shared" si="19"/>
        <v>-0.42369948728004903</v>
      </c>
      <c r="N64" s="128">
        <f t="shared" si="19"/>
        <v>5.1909477218672687E-17</v>
      </c>
      <c r="O64" s="106"/>
      <c r="P64" s="106"/>
      <c r="Q64" s="165"/>
      <c r="R64" s="106"/>
    </row>
    <row r="65" spans="1:19" s="18" customFormat="1">
      <c r="A65" s="173"/>
      <c r="B65" s="151"/>
      <c r="C65" s="127">
        <f>C51+$R$3</f>
        <v>-1.4679999999999997</v>
      </c>
      <c r="D65" s="127">
        <f>D51+$S$3</f>
        <v>1.7985179318058541E-16</v>
      </c>
      <c r="E65" s="106"/>
      <c r="F65" s="107"/>
      <c r="G65" s="103"/>
      <c r="H65" s="119" t="s">
        <v>46</v>
      </c>
      <c r="I65" s="119">
        <f t="shared" si="17"/>
        <v>1.5664507690799261</v>
      </c>
      <c r="J65" s="119">
        <f t="shared" si="18"/>
        <v>-1.9191347394286911E-16</v>
      </c>
      <c r="K65" s="106"/>
      <c r="L65" s="123"/>
      <c r="M65" s="128">
        <f t="shared" si="19"/>
        <v>9.8450769079926337E-2</v>
      </c>
      <c r="N65" s="128">
        <f t="shared" si="19"/>
        <v>-1.2061680762283699E-17</v>
      </c>
      <c r="O65" s="106"/>
      <c r="P65" s="106"/>
      <c r="Q65" s="165"/>
      <c r="R65" s="106"/>
    </row>
    <row r="66" spans="1:19" s="18" customFormat="1">
      <c r="A66" s="173"/>
      <c r="B66" s="151"/>
      <c r="C66" s="127">
        <f>C52+$R$3</f>
        <v>-1.4679999999999997</v>
      </c>
      <c r="D66" s="127">
        <f>D52+$S$3</f>
        <v>1.7985179318058541E-16</v>
      </c>
      <c r="E66" s="106"/>
      <c r="F66" s="107"/>
      <c r="G66" s="103"/>
      <c r="H66" s="119" t="s">
        <v>47</v>
      </c>
      <c r="I66" s="119">
        <f t="shared" si="17"/>
        <v>2.0886010254399014</v>
      </c>
      <c r="J66" s="119">
        <f t="shared" si="18"/>
        <v>-2.5588463192382544E-16</v>
      </c>
      <c r="K66" s="106"/>
      <c r="L66" s="123"/>
      <c r="M66" s="128">
        <f t="shared" si="19"/>
        <v>0.6206010254399017</v>
      </c>
      <c r="N66" s="128">
        <f t="shared" si="19"/>
        <v>-7.6032838743240036E-17</v>
      </c>
      <c r="O66" s="106"/>
      <c r="P66" s="106"/>
      <c r="Q66" s="165"/>
      <c r="R66" s="106"/>
    </row>
    <row r="67" spans="1:19" s="18" customFormat="1">
      <c r="A67" s="173"/>
      <c r="B67" s="151"/>
      <c r="C67" s="127">
        <f>C53+$R$3</f>
        <v>-1.4679999999999997</v>
      </c>
      <c r="D67" s="127">
        <f>D53+$S$3</f>
        <v>1.7985179318058541E-16</v>
      </c>
      <c r="E67" s="106"/>
      <c r="F67" s="107"/>
      <c r="G67" s="103"/>
      <c r="H67" s="119" t="s">
        <v>48</v>
      </c>
      <c r="I67" s="119">
        <f t="shared" si="17"/>
        <v>2.6107512817998768</v>
      </c>
      <c r="J67" s="119">
        <f t="shared" si="18"/>
        <v>-3.1985578990478183E-16</v>
      </c>
      <c r="K67" s="106"/>
      <c r="L67" s="123"/>
      <c r="M67" s="128">
        <f t="shared" si="19"/>
        <v>1.1427512817998771</v>
      </c>
      <c r="N67" s="128">
        <f t="shared" si="19"/>
        <v>-1.4000399672419642E-16</v>
      </c>
      <c r="O67" s="106"/>
      <c r="P67" s="106"/>
      <c r="Q67" s="165"/>
      <c r="R67" s="106"/>
    </row>
    <row r="68" spans="1:19" s="18" customFormat="1">
      <c r="A68" s="173"/>
      <c r="B68" s="151"/>
      <c r="C68" s="127">
        <f t="shared" ref="C68" si="20">C55+$R$3</f>
        <v>-1.4679999999999997</v>
      </c>
      <c r="D68" s="127">
        <f t="shared" ref="D68" si="21">D55+$S$3</f>
        <v>1.7985179318058541E-16</v>
      </c>
      <c r="E68" s="106"/>
      <c r="F68" s="107"/>
      <c r="G68" s="103"/>
      <c r="H68" s="119"/>
      <c r="I68" s="119">
        <f t="shared" si="17"/>
        <v>2.7848013672532019</v>
      </c>
      <c r="J68" s="119">
        <f t="shared" si="18"/>
        <v>-3.4117950923176726E-16</v>
      </c>
      <c r="K68" s="106"/>
      <c r="L68" s="123"/>
      <c r="M68" s="128">
        <f t="shared" ref="M68" si="22">I68+C68</f>
        <v>1.3168013672532022</v>
      </c>
      <c r="N68" s="128">
        <f t="shared" ref="N68" si="23">J68+D68</f>
        <v>-1.6132771605118185E-16</v>
      </c>
      <c r="O68" s="106"/>
      <c r="P68" s="106"/>
      <c r="Q68" s="165"/>
      <c r="R68" s="106"/>
    </row>
    <row r="69" spans="1:19" s="18" customFormat="1">
      <c r="A69" s="173"/>
      <c r="B69" s="151"/>
      <c r="C69" s="127">
        <f>C55+$R$3</f>
        <v>-1.4679999999999997</v>
      </c>
      <c r="D69" s="127">
        <f>D55+$S$3</f>
        <v>1.7985179318058541E-16</v>
      </c>
      <c r="E69" s="106"/>
      <c r="F69" s="107"/>
      <c r="G69" s="103"/>
      <c r="H69" s="119" t="s">
        <v>49</v>
      </c>
      <c r="I69" s="119">
        <f t="shared" si="17"/>
        <v>3.1329015381598522</v>
      </c>
      <c r="J69" s="119">
        <f t="shared" si="18"/>
        <v>-3.8382694788573822E-16</v>
      </c>
      <c r="K69" s="106"/>
      <c r="L69" s="123"/>
      <c r="M69" s="128">
        <f t="shared" si="19"/>
        <v>1.6649015381598524</v>
      </c>
      <c r="N69" s="128">
        <f t="shared" si="19"/>
        <v>-2.0397515470515281E-16</v>
      </c>
      <c r="O69" s="106"/>
      <c r="P69" s="106"/>
      <c r="Q69" s="165"/>
      <c r="R69" s="106"/>
    </row>
    <row r="70" spans="1:19" s="18" customFormat="1">
      <c r="A70" s="173"/>
      <c r="B70" s="151"/>
      <c r="C70" s="127">
        <f>C56+$R$3</f>
        <v>-1.4679999999999997</v>
      </c>
      <c r="D70" s="127">
        <f>D56+$S$3</f>
        <v>1.7985179318058541E-16</v>
      </c>
      <c r="E70" s="106"/>
      <c r="F70" s="107"/>
      <c r="G70" s="103"/>
      <c r="H70" s="119" t="s">
        <v>50</v>
      </c>
      <c r="I70" s="119">
        <f t="shared" si="17"/>
        <v>3.655051794519828</v>
      </c>
      <c r="J70" s="119">
        <f t="shared" si="18"/>
        <v>-4.477981058666946E-16</v>
      </c>
      <c r="K70" s="106"/>
      <c r="L70" s="123"/>
      <c r="M70" s="128">
        <f t="shared" si="19"/>
        <v>2.187051794519828</v>
      </c>
      <c r="N70" s="128">
        <f t="shared" si="19"/>
        <v>-2.6794631268610917E-16</v>
      </c>
      <c r="O70" s="106"/>
      <c r="P70" s="106"/>
      <c r="Q70" s="165"/>
      <c r="R70" s="106"/>
    </row>
    <row r="71" spans="1:19" s="18" customFormat="1">
      <c r="A71" s="173"/>
      <c r="B71" s="151"/>
      <c r="C71" s="127">
        <f>C57+$R$3</f>
        <v>-1.4679999999999997</v>
      </c>
      <c r="D71" s="127">
        <f>D57+$S$3</f>
        <v>1.7985179318058541E-16</v>
      </c>
      <c r="E71" s="106"/>
      <c r="F71" s="107"/>
      <c r="G71" s="103"/>
      <c r="H71" s="119" t="s">
        <v>51</v>
      </c>
      <c r="I71" s="119">
        <f t="shared" si="17"/>
        <v>4.1772020508798029</v>
      </c>
      <c r="J71" s="119">
        <f t="shared" si="18"/>
        <v>-5.1176926384765089E-16</v>
      </c>
      <c r="K71" s="106"/>
      <c r="L71" s="123"/>
      <c r="M71" s="128">
        <f t="shared" si="19"/>
        <v>2.7092020508798029</v>
      </c>
      <c r="N71" s="128">
        <f t="shared" si="19"/>
        <v>-3.3191747066706546E-16</v>
      </c>
      <c r="O71" s="106"/>
      <c r="P71" s="106"/>
      <c r="Q71" s="165"/>
      <c r="R71" s="106"/>
    </row>
    <row r="72" spans="1:19" s="18" customFormat="1">
      <c r="A72" s="173"/>
      <c r="B72" s="106"/>
      <c r="C72" s="106"/>
      <c r="D72" s="103"/>
      <c r="E72" s="106"/>
      <c r="F72" s="107"/>
      <c r="G72" s="103"/>
      <c r="H72" s="123"/>
      <c r="I72" s="123"/>
      <c r="J72" s="121"/>
      <c r="K72" s="123"/>
      <c r="L72" s="124"/>
      <c r="M72" s="121"/>
      <c r="N72" s="123"/>
      <c r="O72" s="123"/>
      <c r="P72" s="106"/>
      <c r="Q72" s="165"/>
      <c r="R72" s="108"/>
      <c r="S72" s="106"/>
    </row>
    <row r="73" spans="1:19" s="18" customFormat="1">
      <c r="A73" s="173"/>
      <c r="B73" s="234" t="s">
        <v>96</v>
      </c>
      <c r="C73" s="134"/>
      <c r="D73" s="134"/>
      <c r="E73" s="133"/>
      <c r="F73" s="107"/>
      <c r="G73" s="103"/>
      <c r="H73" s="133" t="s">
        <v>2</v>
      </c>
      <c r="I73" s="134"/>
      <c r="J73" s="134"/>
      <c r="K73" s="134"/>
      <c r="L73" s="107"/>
      <c r="M73" s="234" t="s">
        <v>97</v>
      </c>
      <c r="N73" s="134"/>
      <c r="O73" s="134"/>
      <c r="P73" s="133"/>
      <c r="Q73" s="165"/>
      <c r="R73" s="106"/>
    </row>
    <row r="74" spans="1:19" s="18" customFormat="1">
      <c r="A74" s="173"/>
      <c r="B74" s="125" t="s">
        <v>67</v>
      </c>
      <c r="C74" s="139" t="s">
        <v>69</v>
      </c>
      <c r="D74" s="139"/>
      <c r="E74" s="129" t="s">
        <v>66</v>
      </c>
      <c r="F74" s="107"/>
      <c r="G74" s="103"/>
      <c r="H74" s="118" t="s">
        <v>67</v>
      </c>
      <c r="I74" s="150" t="s">
        <v>69</v>
      </c>
      <c r="J74" s="143"/>
      <c r="K74" s="130" t="s">
        <v>66</v>
      </c>
      <c r="L74" s="107"/>
      <c r="M74" s="126" t="s">
        <v>67</v>
      </c>
      <c r="N74" s="145" t="s">
        <v>69</v>
      </c>
      <c r="O74" s="145"/>
      <c r="P74" s="131" t="s">
        <v>66</v>
      </c>
      <c r="Q74" s="165"/>
      <c r="R74" s="106"/>
    </row>
    <row r="75" spans="1:19" s="18" customFormat="1">
      <c r="A75" s="173"/>
      <c r="B75" s="127">
        <f t="shared" ref="B75:B83" si="24">SQRT(C63*C63+D63*D63)</f>
        <v>1.4679999999999997</v>
      </c>
      <c r="C75" s="140">
        <f t="shared" ref="C75:C83" si="25">DEGREES(ATAN((B75-C63)/D63))</f>
        <v>90</v>
      </c>
      <c r="D75" s="140" t="str">
        <f>IF(C75&lt;0,"180","0")</f>
        <v>0</v>
      </c>
      <c r="E75" s="141">
        <f>C75+D75</f>
        <v>90</v>
      </c>
      <c r="F75" s="107"/>
      <c r="G75" s="119" t="s">
        <v>77</v>
      </c>
      <c r="H75" s="119">
        <f>SQRT(I49*I49+J49*J49)</f>
        <v>0.69620034181330048</v>
      </c>
      <c r="I75" s="144">
        <f>DEGREES(ATAN((H75-I63)/J63))</f>
        <v>0</v>
      </c>
      <c r="J75" s="144" t="str">
        <f>IF(I75&lt;0,"180","0")</f>
        <v>0</v>
      </c>
      <c r="K75" s="138">
        <f>I75+J75</f>
        <v>0</v>
      </c>
      <c r="L75" s="107"/>
      <c r="M75" s="128">
        <f t="shared" ref="M75:M83" si="26">SQRT(M63*M63+N63*N63)</f>
        <v>0.77179965818669927</v>
      </c>
      <c r="N75" s="146">
        <f t="shared" ref="N75:N83" si="27">DEGREES(ATAN((M75-M63)/N63))</f>
        <v>90</v>
      </c>
      <c r="O75" s="146" t="str">
        <f>IF(N75&lt;0,"180","0")</f>
        <v>0</v>
      </c>
      <c r="P75" s="142">
        <f>N75+O75</f>
        <v>90</v>
      </c>
      <c r="Q75" s="165"/>
      <c r="R75" s="106"/>
    </row>
    <row r="76" spans="1:19" s="18" customFormat="1">
      <c r="A76" s="173"/>
      <c r="B76" s="127">
        <f t="shared" si="24"/>
        <v>1.4679999999999997</v>
      </c>
      <c r="C76" s="140">
        <f t="shared" si="25"/>
        <v>90</v>
      </c>
      <c r="D76" s="140" t="str">
        <f>IF(C76&lt;0,"180","0")</f>
        <v>0</v>
      </c>
      <c r="E76" s="141">
        <f>C76+D76</f>
        <v>90</v>
      </c>
      <c r="F76" s="107"/>
      <c r="G76" s="119" t="s">
        <v>45</v>
      </c>
      <c r="H76" s="119">
        <f>SQRT(I50*I50+J50*J50)</f>
        <v>1.0443005127199507</v>
      </c>
      <c r="I76" s="144">
        <f>DEGREES(ATAN((H76-I64)/J64))</f>
        <v>0</v>
      </c>
      <c r="J76" s="144" t="str">
        <f>IF(I76&lt;0,"180","0")</f>
        <v>0</v>
      </c>
      <c r="K76" s="138">
        <f>I76+J76</f>
        <v>0</v>
      </c>
      <c r="L76" s="107"/>
      <c r="M76" s="128">
        <f t="shared" si="26"/>
        <v>0.42369948728004903</v>
      </c>
      <c r="N76" s="146">
        <f t="shared" si="27"/>
        <v>90</v>
      </c>
      <c r="O76" s="146" t="str">
        <f>IF(N76&lt;0,"180","0")</f>
        <v>0</v>
      </c>
      <c r="P76" s="142">
        <f>N76+O76</f>
        <v>90</v>
      </c>
      <c r="Q76" s="165"/>
      <c r="R76" s="106"/>
    </row>
    <row r="77" spans="1:19" s="18" customFormat="1">
      <c r="A77" s="173"/>
      <c r="B77" s="127">
        <f t="shared" si="24"/>
        <v>1.4679999999999997</v>
      </c>
      <c r="C77" s="140">
        <f t="shared" si="25"/>
        <v>90</v>
      </c>
      <c r="D77" s="140" t="str">
        <f t="shared" ref="D77:D83" si="28">IF(C77&lt;0,"180","0")</f>
        <v>0</v>
      </c>
      <c r="E77" s="141">
        <f t="shared" ref="E77:E83" si="29">C77+D77</f>
        <v>90</v>
      </c>
      <c r="F77" s="107"/>
      <c r="G77" s="119" t="s">
        <v>46</v>
      </c>
      <c r="H77" s="119">
        <f>SQRT(I51*I51+J51*J51)</f>
        <v>1.5664507690799261</v>
      </c>
      <c r="I77" s="144">
        <f>DEGREES(ATAN((H77-I65)/J65))</f>
        <v>0</v>
      </c>
      <c r="J77" s="144" t="str">
        <f t="shared" ref="J77:J83" si="30">IF(I77&lt;0,"180","0")</f>
        <v>0</v>
      </c>
      <c r="K77" s="138">
        <f t="shared" ref="K77:K83" si="31">I77+J77</f>
        <v>0</v>
      </c>
      <c r="L77" s="107"/>
      <c r="M77" s="128">
        <f t="shared" si="26"/>
        <v>9.8450769079926337E-2</v>
      </c>
      <c r="N77" s="146">
        <f t="shared" si="27"/>
        <v>0</v>
      </c>
      <c r="O77" s="146" t="str">
        <f t="shared" ref="O77:O83" si="32">IF(N77&lt;0,"180","0")</f>
        <v>0</v>
      </c>
      <c r="P77" s="142">
        <f t="shared" ref="P77:P83" si="33">N77+O77</f>
        <v>0</v>
      </c>
      <c r="Q77" s="165"/>
      <c r="R77" s="106"/>
    </row>
    <row r="78" spans="1:19" s="18" customFormat="1">
      <c r="A78" s="173"/>
      <c r="B78" s="127">
        <f t="shared" si="24"/>
        <v>1.4679999999999997</v>
      </c>
      <c r="C78" s="140">
        <f t="shared" si="25"/>
        <v>90</v>
      </c>
      <c r="D78" s="140" t="str">
        <f t="shared" si="28"/>
        <v>0</v>
      </c>
      <c r="E78" s="141">
        <f t="shared" si="29"/>
        <v>90</v>
      </c>
      <c r="F78" s="107"/>
      <c r="G78" s="119" t="s">
        <v>47</v>
      </c>
      <c r="H78" s="119">
        <f>SQRT(I52*I52+J52*J52)</f>
        <v>2.0886010254399014</v>
      </c>
      <c r="I78" s="144">
        <f t="shared" ref="I78:I83" si="34">DEGREES(ATAN((H78-I66)/J66))</f>
        <v>0</v>
      </c>
      <c r="J78" s="144" t="str">
        <f t="shared" si="30"/>
        <v>0</v>
      </c>
      <c r="K78" s="138">
        <f t="shared" si="31"/>
        <v>0</v>
      </c>
      <c r="L78" s="107"/>
      <c r="M78" s="128">
        <f t="shared" si="26"/>
        <v>0.6206010254399017</v>
      </c>
      <c r="N78" s="146">
        <f t="shared" si="27"/>
        <v>0</v>
      </c>
      <c r="O78" s="146" t="str">
        <f t="shared" si="32"/>
        <v>0</v>
      </c>
      <c r="P78" s="142">
        <f t="shared" si="33"/>
        <v>0</v>
      </c>
      <c r="Q78" s="165"/>
      <c r="R78" s="106"/>
    </row>
    <row r="79" spans="1:19" s="18" customFormat="1">
      <c r="A79" s="173"/>
      <c r="B79" s="127">
        <f t="shared" si="24"/>
        <v>1.4679999999999997</v>
      </c>
      <c r="C79" s="140">
        <f t="shared" si="25"/>
        <v>90</v>
      </c>
      <c r="D79" s="140" t="str">
        <f t="shared" si="28"/>
        <v>0</v>
      </c>
      <c r="E79" s="141">
        <f t="shared" si="29"/>
        <v>90</v>
      </c>
      <c r="F79" s="107"/>
      <c r="G79" s="119" t="s">
        <v>48</v>
      </c>
      <c r="H79" s="119">
        <f>SQRT(I53*I53+J53*J53)</f>
        <v>2.6107512817998768</v>
      </c>
      <c r="I79" s="144">
        <f t="shared" si="34"/>
        <v>0</v>
      </c>
      <c r="J79" s="144" t="str">
        <f t="shared" si="30"/>
        <v>0</v>
      </c>
      <c r="K79" s="138">
        <f t="shared" si="31"/>
        <v>0</v>
      </c>
      <c r="L79" s="107"/>
      <c r="M79" s="128">
        <f t="shared" si="26"/>
        <v>1.1427512817998771</v>
      </c>
      <c r="N79" s="146">
        <f t="shared" si="27"/>
        <v>0</v>
      </c>
      <c r="O79" s="146" t="str">
        <f t="shared" si="32"/>
        <v>0</v>
      </c>
      <c r="P79" s="142">
        <f t="shared" si="33"/>
        <v>0</v>
      </c>
      <c r="Q79" s="165"/>
      <c r="R79" s="106"/>
    </row>
    <row r="80" spans="1:19" s="18" customFormat="1">
      <c r="A80" s="173"/>
      <c r="B80" s="127">
        <f t="shared" si="24"/>
        <v>1.4679999999999997</v>
      </c>
      <c r="C80" s="140">
        <f t="shared" si="25"/>
        <v>90</v>
      </c>
      <c r="D80" s="140" t="str">
        <f t="shared" ref="D80" si="35">IF(C80&lt;0,"180","0")</f>
        <v>0</v>
      </c>
      <c r="E80" s="141">
        <f t="shared" ref="E80" si="36">C80+D80</f>
        <v>90</v>
      </c>
      <c r="F80" s="107"/>
      <c r="G80" s="119"/>
      <c r="H80" s="119">
        <f t="shared" ref="H80:H83" si="37">SQRT(I54*I54+J54*J54)</f>
        <v>2.7848013672532019</v>
      </c>
      <c r="I80" s="144">
        <f t="shared" si="34"/>
        <v>0</v>
      </c>
      <c r="J80" s="144" t="str">
        <f t="shared" ref="J80" si="38">IF(I80&lt;0,"180","0")</f>
        <v>0</v>
      </c>
      <c r="K80" s="138">
        <f t="shared" ref="K80" si="39">I80+J80</f>
        <v>0</v>
      </c>
      <c r="L80" s="107"/>
      <c r="M80" s="128">
        <f t="shared" si="26"/>
        <v>1.3168013672532022</v>
      </c>
      <c r="N80" s="146">
        <f t="shared" si="27"/>
        <v>0</v>
      </c>
      <c r="O80" s="146" t="str">
        <f t="shared" ref="O80" si="40">IF(N80&lt;0,"180","0")</f>
        <v>0</v>
      </c>
      <c r="P80" s="142">
        <f t="shared" ref="P80" si="41">N80+O80</f>
        <v>0</v>
      </c>
      <c r="Q80" s="165"/>
      <c r="R80" s="106"/>
    </row>
    <row r="81" spans="1:19" s="18" customFormat="1">
      <c r="A81" s="173"/>
      <c r="B81" s="127">
        <f t="shared" si="24"/>
        <v>1.4679999999999997</v>
      </c>
      <c r="C81" s="140">
        <f t="shared" si="25"/>
        <v>90</v>
      </c>
      <c r="D81" s="140" t="str">
        <f t="shared" si="28"/>
        <v>0</v>
      </c>
      <c r="E81" s="141">
        <f t="shared" si="29"/>
        <v>90</v>
      </c>
      <c r="F81" s="107"/>
      <c r="G81" s="119" t="s">
        <v>49</v>
      </c>
      <c r="H81" s="119">
        <f t="shared" si="37"/>
        <v>3.1329015381598522</v>
      </c>
      <c r="I81" s="144">
        <f t="shared" si="34"/>
        <v>0</v>
      </c>
      <c r="J81" s="144" t="str">
        <f t="shared" si="30"/>
        <v>0</v>
      </c>
      <c r="K81" s="138">
        <f t="shared" si="31"/>
        <v>0</v>
      </c>
      <c r="L81" s="107"/>
      <c r="M81" s="128">
        <f t="shared" si="26"/>
        <v>1.6649015381598524</v>
      </c>
      <c r="N81" s="146">
        <f t="shared" si="27"/>
        <v>0</v>
      </c>
      <c r="O81" s="146" t="str">
        <f t="shared" si="32"/>
        <v>0</v>
      </c>
      <c r="P81" s="142">
        <f t="shared" si="33"/>
        <v>0</v>
      </c>
      <c r="Q81" s="165"/>
      <c r="R81" s="106"/>
    </row>
    <row r="82" spans="1:19" s="18" customFormat="1">
      <c r="A82" s="173"/>
      <c r="B82" s="127">
        <f t="shared" si="24"/>
        <v>1.4679999999999997</v>
      </c>
      <c r="C82" s="140">
        <f t="shared" si="25"/>
        <v>90</v>
      </c>
      <c r="D82" s="140" t="str">
        <f t="shared" si="28"/>
        <v>0</v>
      </c>
      <c r="E82" s="141">
        <f t="shared" si="29"/>
        <v>90</v>
      </c>
      <c r="F82" s="107"/>
      <c r="G82" s="119" t="s">
        <v>50</v>
      </c>
      <c r="H82" s="119">
        <f t="shared" si="37"/>
        <v>3.655051794519828</v>
      </c>
      <c r="I82" s="144">
        <f t="shared" si="34"/>
        <v>0</v>
      </c>
      <c r="J82" s="144" t="str">
        <f t="shared" si="30"/>
        <v>0</v>
      </c>
      <c r="K82" s="138">
        <f t="shared" si="31"/>
        <v>0</v>
      </c>
      <c r="L82" s="107"/>
      <c r="M82" s="128">
        <f t="shared" si="26"/>
        <v>2.187051794519828</v>
      </c>
      <c r="N82" s="146">
        <f t="shared" si="27"/>
        <v>0</v>
      </c>
      <c r="O82" s="146" t="str">
        <f t="shared" si="32"/>
        <v>0</v>
      </c>
      <c r="P82" s="142">
        <f t="shared" si="33"/>
        <v>0</v>
      </c>
      <c r="Q82" s="165"/>
      <c r="R82" s="106"/>
    </row>
    <row r="83" spans="1:19" s="18" customFormat="1">
      <c r="A83" s="173"/>
      <c r="B83" s="127">
        <f t="shared" si="24"/>
        <v>1.4679999999999997</v>
      </c>
      <c r="C83" s="140">
        <f t="shared" si="25"/>
        <v>90</v>
      </c>
      <c r="D83" s="140" t="str">
        <f t="shared" si="28"/>
        <v>0</v>
      </c>
      <c r="E83" s="141">
        <f t="shared" si="29"/>
        <v>90</v>
      </c>
      <c r="F83" s="107"/>
      <c r="G83" s="119" t="s">
        <v>51</v>
      </c>
      <c r="H83" s="119">
        <f t="shared" si="37"/>
        <v>4.1772020508798029</v>
      </c>
      <c r="I83" s="144">
        <f t="shared" si="34"/>
        <v>0</v>
      </c>
      <c r="J83" s="144" t="str">
        <f t="shared" si="30"/>
        <v>0</v>
      </c>
      <c r="K83" s="138">
        <f t="shared" si="31"/>
        <v>0</v>
      </c>
      <c r="L83" s="107"/>
      <c r="M83" s="128">
        <f t="shared" si="26"/>
        <v>2.7092020508798029</v>
      </c>
      <c r="N83" s="146">
        <f t="shared" si="27"/>
        <v>0</v>
      </c>
      <c r="O83" s="146" t="str">
        <f t="shared" si="32"/>
        <v>0</v>
      </c>
      <c r="P83" s="142">
        <f t="shared" si="33"/>
        <v>0</v>
      </c>
      <c r="Q83" s="165"/>
      <c r="R83" s="106"/>
    </row>
    <row r="84" spans="1:19" s="18" customFormat="1" ht="14" thickBot="1">
      <c r="A84" s="174"/>
      <c r="B84" s="175"/>
      <c r="C84" s="175"/>
      <c r="D84" s="176"/>
      <c r="E84" s="175"/>
      <c r="F84" s="177"/>
      <c r="G84" s="176"/>
      <c r="H84" s="175"/>
      <c r="I84" s="175"/>
      <c r="J84" s="176"/>
      <c r="K84" s="175"/>
      <c r="L84" s="177"/>
      <c r="M84" s="176"/>
      <c r="N84" s="175"/>
      <c r="O84" s="175"/>
      <c r="P84" s="175"/>
      <c r="Q84" s="172"/>
      <c r="R84" s="108"/>
      <c r="S84" s="106"/>
    </row>
    <row r="85" spans="1:19" s="18" customFormat="1">
      <c r="A85" s="103"/>
      <c r="B85" s="106"/>
      <c r="C85" s="106"/>
      <c r="D85" s="103"/>
      <c r="E85" s="106"/>
      <c r="F85" s="107"/>
      <c r="G85" s="103"/>
      <c r="H85" s="106"/>
      <c r="I85" s="106"/>
      <c r="J85" s="103"/>
      <c r="K85" s="106"/>
      <c r="L85" s="107"/>
      <c r="M85" s="103"/>
      <c r="N85" s="106"/>
      <c r="O85" s="106"/>
      <c r="P85" s="106"/>
      <c r="Q85" s="106"/>
      <c r="R85" s="108"/>
      <c r="S85" s="106"/>
    </row>
    <row r="86" spans="1:19" s="18" customFormat="1">
      <c r="A86" s="6"/>
      <c r="B86" s="6"/>
      <c r="C86" s="6"/>
      <c r="D86" s="3"/>
      <c r="E86" s="3"/>
      <c r="F86" s="3"/>
      <c r="G86" s="4"/>
      <c r="N86" s="2"/>
      <c r="O86" s="2"/>
      <c r="P86" s="2"/>
    </row>
    <row r="87" spans="1:19" ht="18">
      <c r="A87" s="53" t="s">
        <v>11</v>
      </c>
      <c r="B87" s="89"/>
      <c r="C87" s="54"/>
      <c r="D87" s="54"/>
      <c r="E87" s="54"/>
      <c r="F87" s="54"/>
      <c r="G87" s="54"/>
      <c r="H87" s="54"/>
      <c r="I87" s="54"/>
      <c r="J87" s="54"/>
      <c r="K87" s="55"/>
      <c r="L87" s="2"/>
      <c r="M87" s="5"/>
      <c r="N87" s="5"/>
      <c r="O87" s="2"/>
      <c r="P87" s="2"/>
      <c r="Q87" s="2"/>
    </row>
    <row r="88" spans="1:19" ht="26">
      <c r="A88" s="7" t="s">
        <v>12</v>
      </c>
      <c r="B88" s="8" t="s">
        <v>13</v>
      </c>
      <c r="C88" s="8" t="s">
        <v>13</v>
      </c>
      <c r="D88" s="8" t="s">
        <v>4</v>
      </c>
      <c r="E88" s="8" t="s">
        <v>14</v>
      </c>
      <c r="F88" s="8" t="s">
        <v>15</v>
      </c>
      <c r="G88" s="8" t="s">
        <v>16</v>
      </c>
      <c r="H88" s="8" t="s">
        <v>17</v>
      </c>
      <c r="I88" s="8" t="s">
        <v>18</v>
      </c>
      <c r="J88" s="8" t="s">
        <v>19</v>
      </c>
      <c r="K88" s="9" t="s">
        <v>20</v>
      </c>
      <c r="L88" s="10"/>
      <c r="M88" s="10"/>
      <c r="N88" s="10"/>
      <c r="O88" s="10"/>
      <c r="P88" s="10"/>
      <c r="Q88" s="10"/>
    </row>
    <row r="89" spans="1:19">
      <c r="A89" s="11">
        <f>Calculator!B15</f>
        <v>5.55</v>
      </c>
      <c r="B89" s="13">
        <f>B3</f>
        <v>23</v>
      </c>
      <c r="C89" s="13">
        <f>IF(B89&lt;18.5,18.5,IF(B89&lt;=31,B89,31))</f>
        <v>23</v>
      </c>
      <c r="D89" s="13">
        <f>E7</f>
        <v>43</v>
      </c>
      <c r="E89" s="12">
        <v>12</v>
      </c>
      <c r="F89" s="12">
        <f>B4</f>
        <v>0</v>
      </c>
      <c r="G89" s="12">
        <f>IF(C89&lt;23,1,-1)</f>
        <v>-1</v>
      </c>
      <c r="H89" s="12">
        <f>IF(C89&lt;23,28,23.5)</f>
        <v>23.5</v>
      </c>
      <c r="I89" s="13">
        <f>A89+0.3*(C89-23.5)+(TAN(D89*PI()/180))^2+(0.1*G89*(23.5-C89)^2*(TAN(0.1*(H89-C89)^2*PI()/180)))-0.99166</f>
        <v>5.2779134775658125</v>
      </c>
      <c r="J89" s="13">
        <f>(1.336/(1.336/(1336/(C89-I89-0.05)-B6)+(I89+0.05)/1000))-D89</f>
        <v>15.086956521739125</v>
      </c>
      <c r="K89" s="14">
        <f>(1336/(C89-I89-0.05))-(1.336/((1.336/(D89+F89/(1-0.001*E89*F89)))-((I89+0.05)/1000)))</f>
        <v>23.699535056199174</v>
      </c>
      <c r="L89" s="2"/>
      <c r="M89" s="2"/>
      <c r="N89" s="2"/>
      <c r="O89" s="181"/>
      <c r="P89" s="181"/>
      <c r="Q89" s="2"/>
    </row>
    <row r="90" spans="1:19">
      <c r="A90" s="15">
        <f>A89</f>
        <v>5.55</v>
      </c>
      <c r="B90" s="17">
        <f>B89</f>
        <v>23</v>
      </c>
      <c r="C90" s="17">
        <f>IF(B90&lt;18.5,18.5,IF(B90&lt;=31,B90,31))</f>
        <v>23</v>
      </c>
      <c r="D90" s="17">
        <f>D89+Calculator!F16/2</f>
        <v>43.658999999999999</v>
      </c>
      <c r="E90" s="16">
        <v>12</v>
      </c>
      <c r="F90" s="16">
        <f>F89</f>
        <v>0</v>
      </c>
      <c r="G90" s="16">
        <f>IF(C90&lt;23,1,-1)</f>
        <v>-1</v>
      </c>
      <c r="H90" s="16">
        <f>IF(C90&lt;23,28,23.5)</f>
        <v>23.5</v>
      </c>
      <c r="I90" s="13">
        <f>I89</f>
        <v>5.2779134775658125</v>
      </c>
      <c r="J90" s="17"/>
      <c r="K90" s="14">
        <f>(1336/(C90-I90-0.05))-(1.336/((1.336/(D90+F90/(1-0.001*E90*F90)))-((I90+0.05)/1000)))</f>
        <v>22.736456860441848</v>
      </c>
      <c r="L90" s="2"/>
      <c r="M90" s="2"/>
      <c r="N90" s="5"/>
      <c r="O90" s="182"/>
      <c r="P90" s="182"/>
      <c r="Q90" s="5"/>
    </row>
    <row r="91" spans="1:19">
      <c r="A91" s="15">
        <f>A89</f>
        <v>5.55</v>
      </c>
      <c r="B91" s="17">
        <f>B89</f>
        <v>23</v>
      </c>
      <c r="C91" s="17">
        <f>IF(B91&lt;18.5,18.5,IF(B91&lt;=31,B91,31))</f>
        <v>23</v>
      </c>
      <c r="D91" s="17">
        <f>D89-Calculator!F16/2</f>
        <v>42.341000000000001</v>
      </c>
      <c r="E91" s="16">
        <v>12</v>
      </c>
      <c r="F91" s="16">
        <f>F89</f>
        <v>0</v>
      </c>
      <c r="G91" s="16">
        <f>IF(C91&lt;23,1,-1)</f>
        <v>-1</v>
      </c>
      <c r="H91" s="16">
        <f>IF(C91&lt;23,28,23.5)</f>
        <v>23.5</v>
      </c>
      <c r="I91" s="13">
        <f>I89</f>
        <v>5.2779134775658125</v>
      </c>
      <c r="J91" s="17"/>
      <c r="K91" s="14">
        <f>(1336/(C91-I91-0.05))-(1.336/((1.336/(D91+F91/(1-0.001*E91*F91)))-((I91+0.05)/1000)))</f>
        <v>24.656522787106752</v>
      </c>
      <c r="L91" s="2"/>
      <c r="M91" s="2"/>
      <c r="N91" s="5"/>
      <c r="O91" s="183">
        <f>K91-K90</f>
        <v>1.9200659266649041</v>
      </c>
      <c r="P91" s="182"/>
      <c r="Q91" s="5"/>
    </row>
    <row r="92" spans="1:19">
      <c r="A92" s="12"/>
      <c r="B92" s="12"/>
      <c r="C92" s="12"/>
      <c r="D92" s="13"/>
      <c r="E92" s="12"/>
      <c r="F92" s="12"/>
      <c r="G92" s="12"/>
      <c r="H92" s="12"/>
      <c r="I92" s="51"/>
      <c r="J92" s="13"/>
      <c r="K92" s="13"/>
      <c r="L92" s="5"/>
      <c r="M92" s="5"/>
      <c r="N92" s="5"/>
      <c r="O92" s="182"/>
      <c r="P92" s="182"/>
      <c r="Q92" s="5"/>
    </row>
    <row r="93" spans="1:19" ht="18">
      <c r="A93" s="56" t="s">
        <v>8</v>
      </c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"/>
      <c r="N93" s="5"/>
      <c r="O93" s="182"/>
      <c r="P93" s="182"/>
      <c r="Q93" s="18"/>
    </row>
    <row r="94" spans="1:19" ht="26">
      <c r="A94" s="19" t="s">
        <v>21</v>
      </c>
      <c r="B94" s="19" t="s">
        <v>13</v>
      </c>
      <c r="C94" s="19" t="s">
        <v>22</v>
      </c>
      <c r="D94" s="19" t="s">
        <v>4</v>
      </c>
      <c r="E94" s="19" t="s">
        <v>23</v>
      </c>
      <c r="F94" s="19" t="s">
        <v>14</v>
      </c>
      <c r="G94" s="19" t="s">
        <v>24</v>
      </c>
      <c r="H94" s="19" t="s">
        <v>25</v>
      </c>
      <c r="I94" s="19" t="s">
        <v>26</v>
      </c>
      <c r="J94" s="19" t="s">
        <v>20</v>
      </c>
      <c r="K94" s="19" t="s">
        <v>27</v>
      </c>
      <c r="L94" s="19" t="s">
        <v>28</v>
      </c>
      <c r="M94" s="52"/>
      <c r="N94" s="5"/>
      <c r="O94" s="52"/>
      <c r="P94" s="52"/>
    </row>
    <row r="95" spans="1:19" hidden="1">
      <c r="A95" s="20">
        <v>1.45</v>
      </c>
      <c r="B95" s="20">
        <v>22</v>
      </c>
      <c r="C95" s="20">
        <f>B95+0.2</f>
        <v>22.2</v>
      </c>
      <c r="D95" s="20">
        <v>40</v>
      </c>
      <c r="E95" s="20">
        <f>337.5/D95</f>
        <v>8.4375</v>
      </c>
      <c r="F95" s="20">
        <v>12</v>
      </c>
      <c r="G95" s="20">
        <v>-0.5</v>
      </c>
      <c r="H95" s="20">
        <f>12.5*B95/23.45</f>
        <v>11.727078891257996</v>
      </c>
      <c r="I95" s="20">
        <f>0.56+E95-SQRT(E95^2-H95^2/4)</f>
        <v>2.9303498106975479</v>
      </c>
      <c r="J95" s="20">
        <f>1336*(1.336*E95-1/3*C95-0.001*G95*(F95*(1.336*E95-1/3*C95)+C95*E95))/((C95-I95-A95)*(1.336*E95-1/3*(I95+A95)-0.001*G95*(F95*(1.336*E95-1/3*(I95+A95))+(I95+A95)*E95)))</f>
        <v>30.243298718345482</v>
      </c>
      <c r="K95" s="20"/>
      <c r="L95" s="21"/>
    </row>
    <row r="96" spans="1:19" hidden="1">
      <c r="A96" s="20">
        <v>0.5</v>
      </c>
      <c r="B96" s="20">
        <v>22</v>
      </c>
      <c r="C96" s="20">
        <f>B96+0.2</f>
        <v>22.2</v>
      </c>
      <c r="D96" s="20">
        <v>41</v>
      </c>
      <c r="E96" s="20">
        <f>337.5/D96</f>
        <v>8.2317073170731714</v>
      </c>
      <c r="F96" s="20">
        <v>12</v>
      </c>
      <c r="G96" s="20">
        <v>-0.5</v>
      </c>
      <c r="H96" s="20">
        <f>12.5*B96/23.45</f>
        <v>11.727078891257996</v>
      </c>
      <c r="I96" s="20">
        <f>0.56+E96-SQRT(E96^2-H96^2/4)</f>
        <v>3.0141723302895542</v>
      </c>
      <c r="J96" s="20">
        <f>1336*(1.336*E96-1/3*C96-0.001*G96*(F96*(1.336*E96-1/3*C96)+C96*E96))/((C96-I96-A96)*(1.336*E96-1/3*(I96+A96)-0.001*G96*(F96*(1.336*E96-1/3*(I96+A96))+(I96+A96)*E96)))</f>
        <v>26.798559001928492</v>
      </c>
      <c r="K96" s="20"/>
      <c r="L96" s="21"/>
    </row>
    <row r="97" spans="1:18" hidden="1">
      <c r="A97" s="20">
        <v>1.45</v>
      </c>
      <c r="B97" s="20">
        <v>30</v>
      </c>
      <c r="C97" s="22">
        <f>B97+0.2</f>
        <v>30.2</v>
      </c>
      <c r="D97" s="20">
        <v>35.22</v>
      </c>
      <c r="E97" s="22">
        <f>337.5/D97</f>
        <v>9.582623509369677</v>
      </c>
      <c r="F97" s="22">
        <v>12</v>
      </c>
      <c r="G97" s="22">
        <v>0</v>
      </c>
      <c r="H97" s="22">
        <v>13.5</v>
      </c>
      <c r="I97" s="22">
        <f>0.56+E97-SQRT(E97^2-H97^2/4)</f>
        <v>3.3408462914416734</v>
      </c>
      <c r="J97" s="22">
        <f>1336*(1.336*E97-1/3*C97-0.001*G97*(F97*(1.336*E97-1/3*C97)+C97*E97))/((C97-I97-A97)*(1.336*E97-1/3*(I97+A97)-0.001*G97*(F97*(1.336*E97-1/3*(I97+A97))+(I97+A97)*E97)))</f>
        <v>12.836861956288001</v>
      </c>
      <c r="K97" s="22"/>
      <c r="L97" s="21"/>
    </row>
    <row r="98" spans="1:18" hidden="1">
      <c r="A98" s="23"/>
      <c r="B98" s="23"/>
      <c r="C98" s="22"/>
      <c r="D98" s="23"/>
      <c r="E98" s="22"/>
      <c r="F98" s="22"/>
      <c r="G98" s="22"/>
      <c r="H98" s="22"/>
      <c r="I98" s="22"/>
      <c r="J98" s="22"/>
      <c r="K98" s="22"/>
      <c r="L98" s="21"/>
    </row>
    <row r="99" spans="1:18">
      <c r="A99" s="20">
        <f>Calculator!B16</f>
        <v>1.82</v>
      </c>
      <c r="B99" s="22">
        <f>B3</f>
        <v>23</v>
      </c>
      <c r="C99" s="22">
        <f>B99+0.2</f>
        <v>23.2</v>
      </c>
      <c r="D99" s="24">
        <f>E7</f>
        <v>43</v>
      </c>
      <c r="E99" s="24">
        <f>337.5/D99</f>
        <v>7.8488372093023253</v>
      </c>
      <c r="F99" s="22">
        <v>12</v>
      </c>
      <c r="G99" s="25">
        <f>F89</f>
        <v>0</v>
      </c>
      <c r="H99" s="23">
        <f>IF(12.5*B99/23.45&lt;13.5,12.5*B99/23.45,13.5)</f>
        <v>12.260127931769723</v>
      </c>
      <c r="I99" s="24">
        <f>0.56+E99-SQRT(E99^2-H99^2/4)</f>
        <v>3.5071475707910622</v>
      </c>
      <c r="J99" s="24">
        <f>1336*(1.336*E99-1/3*C99-0.001*G99*(F99*(1.336*E99-1/3*C99)+C99*E99))/((C99-I99-A99)*(1.336*E99-1/3*(I99+A99)-0.001*G99*(F99*(1.336*E99-1/3*(I99+A99))+(I99+A99)*E99)))</f>
        <v>23.623209906285894</v>
      </c>
      <c r="K99" s="24">
        <f>(1336*(1.336*E99-(4/3-1)*C99)-B6*(C99-I99-A99)*(1.336*E99-(4/3-1)*(I99+A99)))/(1.336*(12*(1.336*E99-(4/3-1)*C99)+C99*E99)-0.001*B6*(C99-I99-A99)*(12*(1.336*E99-(4/3-1)*(I99+A99))+(A99+I99)*E99))</f>
        <v>12.79584306264235</v>
      </c>
      <c r="L99" s="24">
        <f>A99+I99</f>
        <v>5.3271475707910625</v>
      </c>
    </row>
    <row r="100" spans="1:18">
      <c r="A100" s="26">
        <f>A99</f>
        <v>1.82</v>
      </c>
      <c r="B100" s="27">
        <f>B99</f>
        <v>23</v>
      </c>
      <c r="C100" s="27">
        <f>B100+0.2</f>
        <v>23.2</v>
      </c>
      <c r="D100" s="28">
        <f>D90</f>
        <v>43.658999999999999</v>
      </c>
      <c r="E100" s="28">
        <f>337.5/D100</f>
        <v>7.7303648732220163</v>
      </c>
      <c r="F100" s="27">
        <v>12</v>
      </c>
      <c r="G100" s="29">
        <f>F89</f>
        <v>0</v>
      </c>
      <c r="H100" s="23">
        <f>IF(12.5*B100/23.45&lt;13.5,12.5*B100/23.45,13.5)</f>
        <v>12.260127931769723</v>
      </c>
      <c r="I100" s="28">
        <f>I99</f>
        <v>3.5071475707910622</v>
      </c>
      <c r="J100" s="24">
        <f>1336*(1.336*E100-1/3*C100-0.001*G100*(F100*(1.336*E100-1/3*C100)+C100*E100))/((C100-I100-A100)*(1.336*E100-1/3*(I100+A100)-0.001*G100*(F100*(1.336*E100-1/3*(I100+A100))+(I100+A100)*E100)))</f>
        <v>22.676964773276513</v>
      </c>
      <c r="K100" s="24"/>
      <c r="L100" s="24">
        <f>A100+I100</f>
        <v>5.3271475707910625</v>
      </c>
    </row>
    <row r="101" spans="1:18">
      <c r="A101" s="26">
        <f>A99</f>
        <v>1.82</v>
      </c>
      <c r="B101" s="27">
        <f>B99</f>
        <v>23</v>
      </c>
      <c r="C101" s="27">
        <f>B101+0.2</f>
        <v>23.2</v>
      </c>
      <c r="D101" s="28">
        <f>D91</f>
        <v>42.341000000000001</v>
      </c>
      <c r="E101" s="28">
        <f>337.5/D101</f>
        <v>7.970997378427529</v>
      </c>
      <c r="F101" s="27">
        <v>12</v>
      </c>
      <c r="G101" s="29">
        <f>F89</f>
        <v>0</v>
      </c>
      <c r="H101" s="23">
        <f>IF(12.5*B101/23.45&lt;13.5,12.5*B101/23.45,13.5)</f>
        <v>12.260127931769723</v>
      </c>
      <c r="I101" s="28">
        <f>I99</f>
        <v>3.5071475707910622</v>
      </c>
      <c r="J101" s="24">
        <f>1336*(1.336*E101-1/3*C101-0.001*G101*(F101*(1.336*E101-1/3*C101)+C101*E101))/((C101-I101-A101)*(1.336*E101-1/3*(I101+A101)-0.001*G101*(F101*(1.336*E101-1/3*(I101+A101))+(I101+A101)*E101)))</f>
        <v>24.563560706072138</v>
      </c>
      <c r="K101" s="24"/>
      <c r="L101" s="24">
        <f>A101+I101</f>
        <v>5.3271475707910625</v>
      </c>
      <c r="O101" s="180">
        <f>J101-J100</f>
        <v>1.8865959327956254</v>
      </c>
    </row>
    <row r="102" spans="1:18" ht="14" thickBot="1">
      <c r="A102" s="30"/>
      <c r="B102" s="30"/>
      <c r="C102" s="30"/>
      <c r="D102" s="31"/>
      <c r="E102" s="31"/>
      <c r="F102" s="30"/>
      <c r="G102" s="30"/>
      <c r="H102" s="31"/>
      <c r="I102" s="31"/>
      <c r="J102" s="31"/>
      <c r="K102" s="32"/>
      <c r="L102" s="33"/>
    </row>
    <row r="103" spans="1:18" ht="18">
      <c r="A103" s="58" t="s">
        <v>9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60"/>
    </row>
    <row r="104" spans="1:18" ht="26">
      <c r="A104" s="34" t="s">
        <v>29</v>
      </c>
      <c r="B104" s="34" t="s">
        <v>30</v>
      </c>
      <c r="C104" s="34" t="s">
        <v>31</v>
      </c>
      <c r="D104" s="35" t="s">
        <v>4</v>
      </c>
      <c r="E104" s="35" t="s">
        <v>32</v>
      </c>
      <c r="F104" s="34" t="s">
        <v>33</v>
      </c>
      <c r="G104" s="34" t="s">
        <v>34</v>
      </c>
      <c r="H104" s="34" t="s">
        <v>35</v>
      </c>
      <c r="I104" s="34" t="s">
        <v>36</v>
      </c>
      <c r="J104" s="34" t="s">
        <v>37</v>
      </c>
      <c r="K104" s="34" t="s">
        <v>38</v>
      </c>
      <c r="L104" s="34" t="s">
        <v>39</v>
      </c>
      <c r="M104" s="34" t="s">
        <v>40</v>
      </c>
      <c r="N104" s="34" t="s">
        <v>41</v>
      </c>
      <c r="O104" s="34" t="s">
        <v>42</v>
      </c>
      <c r="P104" s="34" t="s">
        <v>19</v>
      </c>
      <c r="Q104" s="34" t="s">
        <v>43</v>
      </c>
    </row>
    <row r="105" spans="1:18">
      <c r="A105" s="36">
        <f>B3</f>
        <v>23</v>
      </c>
      <c r="B105" s="36">
        <f>Calculator!B17</f>
        <v>119.1</v>
      </c>
      <c r="C105" s="37">
        <f>0.62467*B105-68.747</f>
        <v>5.6511969999999963</v>
      </c>
      <c r="D105" s="36">
        <f>E7</f>
        <v>43</v>
      </c>
      <c r="E105" s="38">
        <f>337.5/D105</f>
        <v>7.8488372093023253</v>
      </c>
      <c r="F105" s="36">
        <f>IF(A105&gt;24.2,-3.446+1.716*A105-0.0237*A105^2,A105)</f>
        <v>23</v>
      </c>
      <c r="G105" s="38">
        <f>-5.41+0.58412*F105+0.098*D105</f>
        <v>12.238759999999999</v>
      </c>
      <c r="H105" s="38">
        <f>E105-SQRT(E105^2-G105^2/4)</f>
        <v>2.9338159526108836</v>
      </c>
      <c r="I105" s="36">
        <f>H105+C105-3.336</f>
        <v>5.2490129526108795</v>
      </c>
      <c r="J105" s="39">
        <v>12</v>
      </c>
      <c r="K105" s="38">
        <v>1.3360000000000001</v>
      </c>
      <c r="L105" s="38">
        <v>1.333</v>
      </c>
      <c r="M105" s="38">
        <v>0.33300000000000002</v>
      </c>
      <c r="N105" s="39">
        <f>0.65696-0.02029*A105</f>
        <v>0.19029000000000001</v>
      </c>
      <c r="O105" s="37">
        <f>A105+N105</f>
        <v>23.190290000000001</v>
      </c>
      <c r="P105" s="36">
        <f>(1336*(K105*E105-M105*O105)-B6*(O105-I105)*(K105*E105-M105*I105))/(K105*(12*(K105*E105-M105*O105)+O105*E105)-0.001*B6*(O105-I105)*(12*(K105*E105-M105*I105)+I105*E105))</f>
        <v>12.84351463414006</v>
      </c>
      <c r="Q105" s="36">
        <f>(1000*K105*(K105*E105-M105*O105))/((O105-I105)*(K105*E105-M105*I105))</f>
        <v>23.551717812702098</v>
      </c>
    </row>
    <row r="106" spans="1:18">
      <c r="A106" s="40">
        <f>A105</f>
        <v>23</v>
      </c>
      <c r="B106" s="40">
        <f>B105</f>
        <v>119.1</v>
      </c>
      <c r="C106" s="41">
        <f>0.62467*B106-68.747</f>
        <v>5.6511969999999963</v>
      </c>
      <c r="D106" s="40">
        <f>D90</f>
        <v>43.658999999999999</v>
      </c>
      <c r="E106" s="42">
        <f>337.5/D106</f>
        <v>7.7303648732220163</v>
      </c>
      <c r="F106" s="40">
        <f>IF(A106&gt;24.2,-3.446+1.716*A106-0.0237*A106^2,A106)</f>
        <v>23</v>
      </c>
      <c r="G106" s="42">
        <f>-5.41+0.58412*F106+0.098*D106</f>
        <v>12.303341999999999</v>
      </c>
      <c r="H106" s="42">
        <f>E106-SQRT(E106^2-G106^2/4)</f>
        <v>3.048967113908688</v>
      </c>
      <c r="I106" s="40">
        <f>I105</f>
        <v>5.2490129526108795</v>
      </c>
      <c r="J106" s="43">
        <v>12</v>
      </c>
      <c r="K106" s="42">
        <v>1.3360000000000001</v>
      </c>
      <c r="L106" s="42">
        <v>1.333</v>
      </c>
      <c r="M106" s="42">
        <v>0.33300000000000002</v>
      </c>
      <c r="N106" s="43">
        <f>0.65696-0.02029*A106</f>
        <v>0.19029000000000001</v>
      </c>
      <c r="O106" s="41">
        <f>A106+N106</f>
        <v>23.190290000000001</v>
      </c>
      <c r="P106" s="40"/>
      <c r="Q106" s="36">
        <f>(1000*K106*(K106*E106-M106*O106))/((O106-I106)*(K106*E106-M106*I106))</f>
        <v>22.612478335206752</v>
      </c>
      <c r="R106" s="180">
        <f>Q107-Q106</f>
        <v>1.8727378226791558</v>
      </c>
    </row>
    <row r="107" spans="1:18">
      <c r="A107" s="40">
        <f>A105</f>
        <v>23</v>
      </c>
      <c r="B107" s="40">
        <f>B105</f>
        <v>119.1</v>
      </c>
      <c r="C107" s="41">
        <f>0.62467*B107-68.747</f>
        <v>5.6511969999999963</v>
      </c>
      <c r="D107" s="40">
        <f>D91</f>
        <v>42.341000000000001</v>
      </c>
      <c r="E107" s="42">
        <f>337.5/D107</f>
        <v>7.970997378427529</v>
      </c>
      <c r="F107" s="40">
        <f>IF(A107&gt;24.2,-3.446+1.716*A107-0.0237*A107^2,A107)</f>
        <v>23</v>
      </c>
      <c r="G107" s="42">
        <f>-5.41+0.58412*F107+0.098*D107</f>
        <v>12.174177999999998</v>
      </c>
      <c r="H107" s="42">
        <f>E107-SQRT(E107^2-G107^2/4)</f>
        <v>2.8247223456511463</v>
      </c>
      <c r="I107" s="40">
        <f>I105</f>
        <v>5.2490129526108795</v>
      </c>
      <c r="J107" s="43">
        <v>12</v>
      </c>
      <c r="K107" s="42">
        <v>1.3360000000000001</v>
      </c>
      <c r="L107" s="42">
        <v>1.333</v>
      </c>
      <c r="M107" s="42">
        <v>0.33300000000000002</v>
      </c>
      <c r="N107" s="43">
        <f>0.65696-0.02029*A107</f>
        <v>0.19029000000000001</v>
      </c>
      <c r="O107" s="41">
        <f>A107+N107</f>
        <v>23.190290000000001</v>
      </c>
      <c r="P107" s="40"/>
      <c r="Q107" s="36">
        <f>(1000*K107*(K107*E107-M107*O107))/((O107-I107)*(K107*E107-M107*I107))</f>
        <v>24.485216157885908</v>
      </c>
    </row>
    <row r="108" spans="1:18" ht="14" thickBot="1">
      <c r="A108" s="44"/>
      <c r="B108" s="45"/>
      <c r="C108" s="45"/>
      <c r="D108" s="46"/>
      <c r="E108" s="47"/>
      <c r="F108" s="48"/>
      <c r="G108" s="49"/>
      <c r="H108" s="48"/>
      <c r="I108" s="46"/>
      <c r="J108" s="48"/>
      <c r="K108" s="47"/>
      <c r="L108" s="47"/>
      <c r="M108" s="47"/>
      <c r="N108" s="48"/>
      <c r="O108" s="48"/>
      <c r="P108" s="48"/>
      <c r="Q108" s="46"/>
    </row>
    <row r="109" spans="1:18">
      <c r="F109" s="50"/>
    </row>
  </sheetData>
  <sheetProtection password="EA05" sheet="1" objects="1" scenarios="1"/>
  <mergeCells count="14">
    <mergeCell ref="A59:Q59"/>
    <mergeCell ref="I17:K17"/>
    <mergeCell ref="D11:D12"/>
    <mergeCell ref="E11:E12"/>
    <mergeCell ref="B11:B12"/>
    <mergeCell ref="C11:C12"/>
    <mergeCell ref="H3:H4"/>
    <mergeCell ref="B1:C1"/>
    <mergeCell ref="A45:Q45"/>
    <mergeCell ref="H5:H7"/>
    <mergeCell ref="B9:E9"/>
    <mergeCell ref="G5:G7"/>
    <mergeCell ref="G3:G4"/>
    <mergeCell ref="M1:W1"/>
  </mergeCells>
  <phoneticPr fontId="3"/>
  <conditionalFormatting sqref="N4:O4 J20:J27">
    <cfRule type="cellIs" dxfId="4" priority="3" stopIfTrue="1" operator="between">
      <formula>0.5</formula>
      <formula>-0.5</formula>
    </cfRule>
  </conditionalFormatting>
  <conditionalFormatting sqref="J19">
    <cfRule type="cellIs" dxfId="3" priority="2" stopIfTrue="1" operator="between">
      <formula>0.5</formula>
      <formula>-0.5</formula>
    </cfRule>
  </conditionalFormatting>
  <pageMargins left="0" right="0" top="0.98425196850393704" bottom="0.98425196850393704" header="0.51181102362204722" footer="0.5118110236220472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topLeftCell="A7" workbookViewId="0">
      <selection activeCell="F19" sqref="F19"/>
    </sheetView>
  </sheetViews>
  <sheetFormatPr baseColWidth="10" defaultRowHeight="13" x14ac:dyDescent="0"/>
  <cols>
    <col min="1" max="1" width="16.28515625" customWidth="1"/>
    <col min="2" max="2" width="11.42578125" customWidth="1"/>
    <col min="3" max="3" width="11.28515625" customWidth="1"/>
    <col min="4" max="4" width="10.5703125" customWidth="1"/>
    <col min="5" max="5" width="8.85546875" customWidth="1"/>
    <col min="6" max="6" width="9.5703125" customWidth="1"/>
    <col min="7" max="7" width="11.7109375" customWidth="1"/>
    <col min="8" max="8" width="8.7109375" customWidth="1"/>
    <col min="9" max="10" width="8.28515625" customWidth="1"/>
    <col min="11" max="11" width="8.42578125" customWidth="1"/>
    <col min="12" max="12" width="7.42578125" customWidth="1"/>
    <col min="13" max="13" width="6.7109375" customWidth="1"/>
    <col min="14" max="14" width="9.28515625" customWidth="1"/>
    <col min="15" max="15" width="7.140625" bestFit="1" customWidth="1"/>
    <col min="16" max="16" width="8.5703125" customWidth="1"/>
    <col min="17" max="17" width="7.5703125" customWidth="1"/>
    <col min="18" max="18" width="5.42578125" bestFit="1" customWidth="1"/>
    <col min="19" max="20" width="8.140625" bestFit="1" customWidth="1"/>
    <col min="21" max="21" width="5.7109375" hidden="1" customWidth="1"/>
    <col min="22" max="22" width="4.42578125" style="90" hidden="1" customWidth="1"/>
    <col min="23" max="24" width="10.7109375" customWidth="1"/>
    <col min="25" max="25" width="6.5703125" bestFit="1" customWidth="1"/>
  </cols>
  <sheetData>
    <row r="1" spans="1:23" ht="19" customHeight="1">
      <c r="A1" s="71" t="s">
        <v>53</v>
      </c>
      <c r="B1" s="433"/>
      <c r="C1" s="433"/>
      <c r="D1" s="72"/>
      <c r="E1" s="72"/>
      <c r="F1" s="178"/>
      <c r="G1" s="73"/>
      <c r="M1" s="431" t="s">
        <v>87</v>
      </c>
      <c r="N1" s="432"/>
      <c r="O1" s="432"/>
      <c r="P1" s="432"/>
      <c r="Q1" s="432"/>
      <c r="R1" s="432"/>
      <c r="S1" s="432"/>
      <c r="T1" s="432"/>
      <c r="U1" s="432"/>
      <c r="V1" s="432"/>
      <c r="W1" s="432"/>
    </row>
    <row r="2" spans="1:23" ht="19" customHeight="1" thickBot="1">
      <c r="A2" s="75"/>
      <c r="B2" s="72"/>
      <c r="C2" s="76"/>
      <c r="D2" s="72"/>
      <c r="E2" s="72"/>
      <c r="F2" s="73"/>
      <c r="G2" s="73"/>
      <c r="M2" s="239" t="s">
        <v>66</v>
      </c>
      <c r="N2" s="240"/>
      <c r="O2" s="239" t="s">
        <v>66</v>
      </c>
      <c r="P2" s="241" t="s">
        <v>67</v>
      </c>
      <c r="Q2" s="242" t="s">
        <v>68</v>
      </c>
      <c r="R2" s="243" t="s">
        <v>91</v>
      </c>
      <c r="S2" s="243" t="s">
        <v>92</v>
      </c>
      <c r="T2" s="244" t="s">
        <v>67</v>
      </c>
      <c r="U2" s="245" t="s">
        <v>69</v>
      </c>
      <c r="V2" s="264"/>
      <c r="W2" s="246" t="s">
        <v>66</v>
      </c>
    </row>
    <row r="3" spans="1:23" ht="20" customHeight="1">
      <c r="A3" s="91" t="s">
        <v>3</v>
      </c>
      <c r="B3" s="95">
        <f>Calculator!B9</f>
        <v>23</v>
      </c>
      <c r="C3" s="73"/>
      <c r="D3" s="62" t="s">
        <v>79</v>
      </c>
      <c r="E3" s="1"/>
      <c r="F3" s="1"/>
      <c r="G3" s="434" t="s">
        <v>55</v>
      </c>
      <c r="M3" s="152">
        <f>IF(Calculator!B12&lt;90,Calculator!B12+90,Calculator!B12-90)</f>
        <v>90</v>
      </c>
      <c r="N3">
        <v>0</v>
      </c>
      <c r="O3" s="247">
        <v>90</v>
      </c>
      <c r="P3" s="3">
        <f>Calculator!B11</f>
        <v>0.15</v>
      </c>
      <c r="Q3" s="107">
        <f>PI()/180*O3</f>
        <v>1.5707963267948966</v>
      </c>
      <c r="R3" s="159">
        <f>P3*COS(2*Q3)</f>
        <v>-0.15</v>
      </c>
      <c r="S3" s="159">
        <f>P3*SIN(2*Q3)</f>
        <v>1.83772268236293E-17</v>
      </c>
      <c r="T3" s="159">
        <f>SQRT(R3*R3+S3*S3)</f>
        <v>0.15</v>
      </c>
      <c r="U3" s="161">
        <f>DEGREES(ATAN((T3-R3)/S3))</f>
        <v>90</v>
      </c>
      <c r="V3" s="161" t="str">
        <f>IF(U3&lt;0,"180","0")</f>
        <v>0</v>
      </c>
      <c r="W3" s="161">
        <f>U3+V3</f>
        <v>90</v>
      </c>
    </row>
    <row r="4" spans="1:23" ht="18" customHeight="1" thickBot="1">
      <c r="A4" s="92" t="s">
        <v>44</v>
      </c>
      <c r="B4" s="93">
        <f>Calculator!B10</f>
        <v>0</v>
      </c>
      <c r="C4" s="73"/>
      <c r="D4" s="66"/>
      <c r="E4" s="63" t="s">
        <v>5</v>
      </c>
      <c r="F4" s="64" t="s">
        <v>6</v>
      </c>
      <c r="G4" s="403"/>
      <c r="N4" s="61"/>
      <c r="O4" s="61"/>
      <c r="P4" s="2"/>
    </row>
    <row r="5" spans="1:23" ht="18">
      <c r="A5" s="18"/>
      <c r="B5" s="18"/>
      <c r="C5" s="73"/>
      <c r="D5" s="69" t="s">
        <v>56</v>
      </c>
      <c r="E5" s="94">
        <f>E7+T10/2</f>
        <v>44</v>
      </c>
      <c r="F5" s="65">
        <f>W10</f>
        <v>90</v>
      </c>
      <c r="G5" s="408">
        <f>E5-E6</f>
        <v>2</v>
      </c>
      <c r="M5" s="435" t="s">
        <v>116</v>
      </c>
      <c r="N5" s="406"/>
      <c r="O5" s="406"/>
      <c r="P5" s="406"/>
      <c r="Q5" s="406"/>
      <c r="R5" s="406"/>
      <c r="S5" s="406"/>
      <c r="T5" s="406"/>
      <c r="U5" s="406"/>
      <c r="V5" s="406"/>
      <c r="W5" s="407"/>
    </row>
    <row r="6" spans="1:23" ht="18">
      <c r="A6" s="74" t="s">
        <v>54</v>
      </c>
      <c r="B6" s="96">
        <f>AVERAGE(K89,J99,Q105)</f>
        <v>23.624820925062391</v>
      </c>
      <c r="C6" s="73"/>
      <c r="D6" s="69" t="s">
        <v>57</v>
      </c>
      <c r="E6" s="94">
        <f>E7-T10/2</f>
        <v>42</v>
      </c>
      <c r="F6" s="230">
        <f>IF(F5&lt;90,F5+90,F5-90)</f>
        <v>0</v>
      </c>
      <c r="G6" s="409"/>
      <c r="M6" s="248"/>
      <c r="N6" s="192"/>
      <c r="O6" s="259" t="s">
        <v>66</v>
      </c>
      <c r="P6" s="260" t="s">
        <v>67</v>
      </c>
      <c r="Q6" s="261" t="s">
        <v>68</v>
      </c>
      <c r="R6" s="243" t="s">
        <v>91</v>
      </c>
      <c r="S6" s="243" t="s">
        <v>92</v>
      </c>
      <c r="T6" s="157" t="s">
        <v>67</v>
      </c>
      <c r="U6" s="158" t="s">
        <v>69</v>
      </c>
      <c r="V6" s="265"/>
      <c r="W6" s="193" t="s">
        <v>66</v>
      </c>
    </row>
    <row r="7" spans="1:23" ht="18" customHeight="1" thickBot="1">
      <c r="A7" s="73"/>
      <c r="B7" s="73"/>
      <c r="C7" s="73"/>
      <c r="D7" s="70" t="s">
        <v>58</v>
      </c>
      <c r="E7" s="67">
        <f>KA!E7</f>
        <v>43</v>
      </c>
      <c r="F7" s="68"/>
      <c r="G7" s="410"/>
      <c r="M7" s="249">
        <f>Calculator!J7</f>
        <v>90</v>
      </c>
      <c r="N7" s="184">
        <f>IF(M7&gt;180,-180,0)</f>
        <v>0</v>
      </c>
      <c r="O7" s="4">
        <f>M7+N7</f>
        <v>90</v>
      </c>
      <c r="P7" s="185">
        <f>Calculator!I7</f>
        <v>2</v>
      </c>
      <c r="Q7" s="107">
        <f>PI()/180*M7</f>
        <v>1.5707963267948966</v>
      </c>
      <c r="R7" s="106">
        <f>P7*COS(2*Q7)</f>
        <v>-2</v>
      </c>
      <c r="S7" s="106">
        <f>P7*SIN(2*Q7)</f>
        <v>2.45029690981724E-16</v>
      </c>
      <c r="T7" s="106">
        <f>SQRT(R7*R7+S7*S7)</f>
        <v>2</v>
      </c>
      <c r="U7" s="257">
        <f>DEGREES(ATAN((T7-R7)/S7))</f>
        <v>90</v>
      </c>
      <c r="V7" s="257" t="str">
        <f>IF(U7&lt;0,"180","0")</f>
        <v>0</v>
      </c>
      <c r="W7" s="258">
        <f>U7+V7</f>
        <v>90</v>
      </c>
    </row>
    <row r="8" spans="1:23" ht="17" customHeight="1" thickBot="1">
      <c r="A8" s="73"/>
      <c r="B8" s="73"/>
      <c r="C8" s="73"/>
      <c r="E8" s="77"/>
      <c r="F8" s="73"/>
      <c r="G8" s="73"/>
      <c r="M8" s="250">
        <f>Calculator!J8</f>
        <v>90</v>
      </c>
      <c r="N8" s="184">
        <f>IF(M8&gt;180,-180,0)</f>
        <v>0</v>
      </c>
      <c r="O8" s="4">
        <f>M8+N8</f>
        <v>90</v>
      </c>
      <c r="P8" s="185">
        <f>Calculator!I8</f>
        <v>2</v>
      </c>
      <c r="Q8" s="107">
        <f>PI()/180*M8</f>
        <v>1.5707963267948966</v>
      </c>
      <c r="R8" s="106">
        <f t="shared" ref="R8:R9" si="0">P8*COS(2*Q8)</f>
        <v>-2</v>
      </c>
      <c r="S8" s="106">
        <f t="shared" ref="S8:S9" si="1">P8*SIN(2*Q8)</f>
        <v>2.45029690981724E-16</v>
      </c>
      <c r="T8" s="106">
        <f t="shared" ref="T8:T9" si="2">SQRT(R8*R8+S8*S8)</f>
        <v>2</v>
      </c>
      <c r="U8" s="257">
        <f t="shared" ref="U8:U9" si="3">DEGREES(ATAN((T8-R8)/S8))</f>
        <v>90</v>
      </c>
      <c r="V8" s="257" t="str">
        <f t="shared" ref="V8:V9" si="4">IF(U8&lt;0,"180","0")</f>
        <v>0</v>
      </c>
      <c r="W8" s="258">
        <f t="shared" ref="W8:W9" si="5">U8+V8</f>
        <v>90</v>
      </c>
    </row>
    <row r="9" spans="1:23" ht="16" customHeight="1">
      <c r="A9" s="73"/>
      <c r="B9" s="411" t="s">
        <v>62</v>
      </c>
      <c r="C9" s="412"/>
      <c r="D9" s="412"/>
      <c r="E9" s="413"/>
      <c r="F9" s="73"/>
      <c r="G9" s="73"/>
      <c r="M9" s="250">
        <f>Calculator!J9</f>
        <v>90</v>
      </c>
      <c r="N9" s="184">
        <f>IF(M9&gt;180,-180,0)</f>
        <v>0</v>
      </c>
      <c r="O9" s="4">
        <f>M9+N9</f>
        <v>90</v>
      </c>
      <c r="P9" s="185">
        <f>Calculator!I9</f>
        <v>2</v>
      </c>
      <c r="Q9" s="107">
        <f>PI()/180*M9</f>
        <v>1.5707963267948966</v>
      </c>
      <c r="R9" s="106">
        <f t="shared" si="0"/>
        <v>-2</v>
      </c>
      <c r="S9" s="106">
        <f t="shared" si="1"/>
        <v>2.45029690981724E-16</v>
      </c>
      <c r="T9" s="106">
        <f t="shared" si="2"/>
        <v>2</v>
      </c>
      <c r="U9" s="257">
        <f t="shared" si="3"/>
        <v>90</v>
      </c>
      <c r="V9" s="257" t="str">
        <f t="shared" si="4"/>
        <v>0</v>
      </c>
      <c r="W9" s="258">
        <f t="shared" si="5"/>
        <v>90</v>
      </c>
    </row>
    <row r="10" spans="1:23" ht="19" thickBot="1">
      <c r="A10" s="73"/>
      <c r="B10" s="81" t="s">
        <v>7</v>
      </c>
      <c r="C10" s="80" t="s">
        <v>8</v>
      </c>
      <c r="D10" s="80" t="s">
        <v>9</v>
      </c>
      <c r="E10" s="82" t="s">
        <v>63</v>
      </c>
      <c r="F10" s="73"/>
      <c r="G10" s="73"/>
      <c r="M10" s="167"/>
      <c r="N10" s="5"/>
      <c r="O10" s="5"/>
      <c r="P10" s="52"/>
      <c r="Q10" s="262" t="s">
        <v>81</v>
      </c>
      <c r="R10" s="254">
        <f>AVERAGE(R7:R9)</f>
        <v>-2</v>
      </c>
      <c r="S10" s="254">
        <f>AVERAGE(S7:S9)</f>
        <v>2.45029690981724E-16</v>
      </c>
      <c r="T10" s="255">
        <f>SQRT(R10*R10+S10*S10)</f>
        <v>2</v>
      </c>
      <c r="U10" s="263">
        <f>DEGREES(ATAN((T10-R10)/S10))</f>
        <v>90</v>
      </c>
      <c r="V10" s="263" t="str">
        <f>IF(U10&lt;0,"180","0")</f>
        <v>0</v>
      </c>
      <c r="W10" s="256">
        <f>U10+V10</f>
        <v>90</v>
      </c>
    </row>
    <row r="11" spans="1:23" ht="13" customHeight="1">
      <c r="A11" s="73"/>
      <c r="B11" s="427">
        <f>K91-K90</f>
        <v>2.9136435406313836</v>
      </c>
      <c r="C11" s="423">
        <f>J101-J100</f>
        <v>2.8628526901235816</v>
      </c>
      <c r="D11" s="423">
        <f>Q107-Q106</f>
        <v>2.8418220792403588</v>
      </c>
      <c r="E11" s="425">
        <f>(B11+C11+D11)/3</f>
        <v>2.8727727699984413</v>
      </c>
      <c r="F11" s="73"/>
      <c r="G11" s="73"/>
      <c r="M11" s="167"/>
      <c r="N11" s="5"/>
      <c r="O11" s="5"/>
      <c r="P11" s="5"/>
      <c r="Q11" s="52"/>
      <c r="R11" s="52"/>
      <c r="S11" s="52"/>
      <c r="T11" s="52"/>
      <c r="U11" s="52"/>
      <c r="V11" s="266"/>
      <c r="W11" s="186"/>
    </row>
    <row r="12" spans="1:23" ht="15" thickBot="1">
      <c r="A12" s="73"/>
      <c r="B12" s="428"/>
      <c r="C12" s="424"/>
      <c r="D12" s="424"/>
      <c r="E12" s="426"/>
      <c r="F12" s="73"/>
      <c r="G12" s="73"/>
      <c r="M12" s="187"/>
      <c r="N12" s="189"/>
      <c r="O12" s="189"/>
      <c r="P12" s="190"/>
      <c r="Q12" s="188"/>
      <c r="R12" s="188"/>
      <c r="S12" s="188"/>
      <c r="T12" s="188"/>
      <c r="U12" s="188"/>
      <c r="V12" s="267"/>
      <c r="W12" s="191"/>
    </row>
    <row r="13" spans="1:23">
      <c r="A13" s="73"/>
      <c r="B13" s="83" t="s">
        <v>10</v>
      </c>
      <c r="C13" s="84" t="s">
        <v>10</v>
      </c>
      <c r="D13" s="84" t="s">
        <v>10</v>
      </c>
      <c r="E13" s="85" t="s">
        <v>10</v>
      </c>
      <c r="F13" s="73"/>
      <c r="G13" s="73"/>
      <c r="V13"/>
    </row>
    <row r="14" spans="1:23" ht="17" thickBot="1">
      <c r="A14" s="73"/>
      <c r="B14" s="86">
        <f>B11/G5</f>
        <v>1.4568217703156918</v>
      </c>
      <c r="C14" s="87">
        <f>C11/G5</f>
        <v>1.4314263450617908</v>
      </c>
      <c r="D14" s="87">
        <f>D11/G5</f>
        <v>1.4209110396201794</v>
      </c>
      <c r="E14" s="88">
        <f>E11/G5</f>
        <v>1.4363863849992207</v>
      </c>
      <c r="F14" s="73"/>
      <c r="G14" s="73"/>
      <c r="V14"/>
    </row>
    <row r="15" spans="1:23">
      <c r="A15" s="73"/>
      <c r="B15" s="79"/>
      <c r="C15" s="79"/>
      <c r="D15" s="77"/>
      <c r="E15" s="77"/>
      <c r="F15" s="77"/>
      <c r="G15" s="78"/>
      <c r="V15"/>
    </row>
    <row r="16" spans="1:23" ht="14" thickBot="1">
      <c r="A16" s="79"/>
      <c r="B16" s="79"/>
      <c r="C16" s="79"/>
      <c r="D16" s="77"/>
      <c r="E16" s="77"/>
      <c r="F16" s="77"/>
      <c r="G16" s="78"/>
      <c r="V16"/>
    </row>
    <row r="17" spans="1:22">
      <c r="A17" s="79"/>
      <c r="B17" s="79"/>
      <c r="C17" s="79"/>
      <c r="D17" s="77"/>
      <c r="E17" s="77"/>
      <c r="F17" s="149" t="s">
        <v>73</v>
      </c>
      <c r="G17" s="147"/>
      <c r="H17" s="148"/>
      <c r="I17" s="420" t="s">
        <v>59</v>
      </c>
      <c r="J17" s="421"/>
      <c r="K17" s="422"/>
      <c r="V17"/>
    </row>
    <row r="18" spans="1:22" ht="26">
      <c r="A18" s="79"/>
      <c r="B18" s="79"/>
      <c r="C18" s="79"/>
      <c r="D18" s="77"/>
      <c r="E18" s="77"/>
      <c r="F18" s="137" t="s">
        <v>70</v>
      </c>
      <c r="G18" s="97" t="s">
        <v>60</v>
      </c>
      <c r="H18" s="98" t="s">
        <v>61</v>
      </c>
      <c r="I18" s="137" t="s">
        <v>70</v>
      </c>
      <c r="J18" s="97" t="s">
        <v>60</v>
      </c>
      <c r="K18" s="98" t="s">
        <v>61</v>
      </c>
      <c r="V18"/>
    </row>
    <row r="19" spans="1:22" ht="18">
      <c r="A19" s="79"/>
      <c r="B19" s="79"/>
      <c r="C19" s="79"/>
      <c r="D19" s="77"/>
      <c r="E19" s="77"/>
      <c r="F19" s="99" t="s">
        <v>77</v>
      </c>
      <c r="G19" s="61">
        <v>-1</v>
      </c>
      <c r="H19" s="135">
        <f>G19/$E$14</f>
        <v>-0.6961915056028205</v>
      </c>
      <c r="I19" s="99" t="s">
        <v>77</v>
      </c>
      <c r="J19" s="61">
        <f>E11-1</f>
        <v>1.8727727699984413</v>
      </c>
      <c r="K19" s="100">
        <f>J19/$E$14</f>
        <v>1.3038084943971795</v>
      </c>
      <c r="V19"/>
    </row>
    <row r="20" spans="1:22" ht="18">
      <c r="A20" s="79"/>
      <c r="B20" s="79"/>
      <c r="C20" s="79"/>
      <c r="D20" s="77"/>
      <c r="E20" s="77"/>
      <c r="F20" s="99" t="s">
        <v>45</v>
      </c>
      <c r="G20" s="61">
        <v>-1.5</v>
      </c>
      <c r="H20" s="135">
        <f>G20/$E$14</f>
        <v>-1.0442872584042306</v>
      </c>
      <c r="I20" s="99" t="s">
        <v>45</v>
      </c>
      <c r="J20" s="61">
        <f>E11-1.5</f>
        <v>1.3727727699984413</v>
      </c>
      <c r="K20" s="100">
        <f>J20/$E$14</f>
        <v>0.95571274159576924</v>
      </c>
      <c r="V20"/>
    </row>
    <row r="21" spans="1:22" ht="18">
      <c r="A21" s="79"/>
      <c r="B21" s="79"/>
      <c r="C21" s="79"/>
      <c r="D21" s="77"/>
      <c r="E21" s="77"/>
      <c r="F21" s="99" t="s">
        <v>46</v>
      </c>
      <c r="G21" s="61">
        <v>-2.25</v>
      </c>
      <c r="H21" s="135">
        <f t="shared" ref="H21:H27" si="6">G21/$E$14</f>
        <v>-1.5664308876063462</v>
      </c>
      <c r="I21" s="99" t="s">
        <v>46</v>
      </c>
      <c r="J21" s="61">
        <f>E11-2.25</f>
        <v>0.62277276999844133</v>
      </c>
      <c r="K21" s="100">
        <f t="shared" ref="K21:K27" si="7">J21/$E$14</f>
        <v>0.43356911239365392</v>
      </c>
      <c r="V21"/>
    </row>
    <row r="22" spans="1:22" ht="18">
      <c r="A22" s="79"/>
      <c r="B22" s="79"/>
      <c r="C22" s="79"/>
      <c r="D22" s="77"/>
      <c r="E22" s="77"/>
      <c r="F22" s="99" t="s">
        <v>47</v>
      </c>
      <c r="G22" s="61">
        <v>-3</v>
      </c>
      <c r="H22" s="135">
        <f t="shared" si="6"/>
        <v>-2.0885745168084613</v>
      </c>
      <c r="I22" s="99" t="s">
        <v>47</v>
      </c>
      <c r="J22" s="61">
        <f>E11-3</f>
        <v>-0.12722723000155867</v>
      </c>
      <c r="K22" s="100">
        <f t="shared" si="7"/>
        <v>-8.8574516808461456E-2</v>
      </c>
      <c r="V22"/>
    </row>
    <row r="23" spans="1:22" ht="18">
      <c r="A23" s="79"/>
      <c r="B23" s="79"/>
      <c r="C23" s="79"/>
      <c r="D23" s="77"/>
      <c r="E23" s="77"/>
      <c r="F23" s="99" t="s">
        <v>48</v>
      </c>
      <c r="G23" s="61">
        <v>-3.75</v>
      </c>
      <c r="H23" s="135">
        <f t="shared" si="6"/>
        <v>-2.6107181460105768</v>
      </c>
      <c r="I23" s="99" t="s">
        <v>48</v>
      </c>
      <c r="J23" s="61">
        <f>E11-3.75</f>
        <v>-0.87722723000155867</v>
      </c>
      <c r="K23" s="100">
        <f t="shared" si="7"/>
        <v>-0.61071814601057683</v>
      </c>
      <c r="V23"/>
    </row>
    <row r="24" spans="1:22" ht="18">
      <c r="A24" s="79"/>
      <c r="B24" s="79"/>
      <c r="C24" s="79"/>
      <c r="D24" s="77"/>
      <c r="E24" s="77"/>
      <c r="F24" s="99"/>
      <c r="G24" s="61">
        <v>-4</v>
      </c>
      <c r="H24" s="135">
        <f t="shared" si="6"/>
        <v>-2.784766022411282</v>
      </c>
      <c r="I24" s="99"/>
      <c r="J24" s="61">
        <f>E11-4</f>
        <v>-1.1272272300015587</v>
      </c>
      <c r="K24" s="100">
        <f t="shared" si="7"/>
        <v>-0.7847660224112819</v>
      </c>
      <c r="Q24" s="2"/>
      <c r="V24"/>
    </row>
    <row r="25" spans="1:22" ht="18">
      <c r="A25" s="79"/>
      <c r="B25" s="79"/>
      <c r="C25" s="79"/>
      <c r="D25" s="77"/>
      <c r="E25" s="77"/>
      <c r="F25" s="99" t="s">
        <v>49</v>
      </c>
      <c r="G25" s="61">
        <v>-4.5</v>
      </c>
      <c r="H25" s="135">
        <f t="shared" si="6"/>
        <v>-3.1328617752126924</v>
      </c>
      <c r="I25" s="99" t="s">
        <v>49</v>
      </c>
      <c r="J25" s="61">
        <f>E11-4.5</f>
        <v>-1.6272272300015587</v>
      </c>
      <c r="K25" s="100">
        <f t="shared" si="7"/>
        <v>-1.1328617752126922</v>
      </c>
      <c r="Q25" s="2"/>
    </row>
    <row r="26" spans="1:22" ht="18">
      <c r="A26" s="79"/>
      <c r="B26" s="79"/>
      <c r="C26" s="79"/>
      <c r="D26" s="77"/>
      <c r="E26" s="77"/>
      <c r="F26" s="99" t="s">
        <v>50</v>
      </c>
      <c r="G26" s="61">
        <v>-5.25</v>
      </c>
      <c r="H26" s="135">
        <f t="shared" si="6"/>
        <v>-3.6550054044148075</v>
      </c>
      <c r="I26" s="99" t="s">
        <v>50</v>
      </c>
      <c r="J26" s="61">
        <f>E11-5.25</f>
        <v>-2.3772272300015587</v>
      </c>
      <c r="K26" s="100">
        <f t="shared" si="7"/>
        <v>-1.6550054044148075</v>
      </c>
      <c r="Q26" s="2"/>
    </row>
    <row r="27" spans="1:22" s="18" customFormat="1" ht="19" thickBot="1">
      <c r="A27" s="6"/>
      <c r="B27" s="6"/>
      <c r="C27" s="6"/>
      <c r="D27" s="3"/>
      <c r="E27" s="3"/>
      <c r="F27" s="101" t="s">
        <v>51</v>
      </c>
      <c r="G27" s="102">
        <v>-6</v>
      </c>
      <c r="H27" s="136">
        <f t="shared" si="6"/>
        <v>-4.1771490336169226</v>
      </c>
      <c r="I27" s="101" t="s">
        <v>51</v>
      </c>
      <c r="J27" s="102">
        <f>E11-6</f>
        <v>-3.1272272300015587</v>
      </c>
      <c r="K27" s="136">
        <f t="shared" si="7"/>
        <v>-2.177149033616923</v>
      </c>
      <c r="Q27" s="2"/>
      <c r="V27" s="268"/>
    </row>
    <row r="28" spans="1:22" s="18" customFormat="1">
      <c r="A28" s="6"/>
      <c r="B28" s="6"/>
      <c r="C28" s="6"/>
      <c r="D28" s="3"/>
      <c r="E28" s="3"/>
      <c r="F28" s="3"/>
      <c r="G28" s="4"/>
      <c r="N28" s="2"/>
      <c r="O28" s="2"/>
      <c r="P28" s="2"/>
      <c r="V28" s="268"/>
    </row>
    <row r="29" spans="1:22" s="18" customFormat="1">
      <c r="F29" s="3"/>
      <c r="G29" s="4"/>
      <c r="N29" s="2"/>
      <c r="O29" s="2"/>
      <c r="P29" s="2"/>
      <c r="V29" s="268"/>
    </row>
    <row r="30" spans="1:22" s="18" customFormat="1">
      <c r="F30" s="3"/>
      <c r="G30" s="4"/>
      <c r="N30" s="2"/>
      <c r="O30" s="2"/>
      <c r="P30" s="2"/>
      <c r="V30" s="268"/>
    </row>
    <row r="31" spans="1:22" s="18" customFormat="1">
      <c r="F31" s="3"/>
      <c r="G31" s="4"/>
      <c r="N31" s="2"/>
      <c r="O31" s="2"/>
      <c r="P31" s="2"/>
      <c r="V31" s="268"/>
    </row>
    <row r="32" spans="1:22" s="18" customFormat="1">
      <c r="A32" s="6"/>
      <c r="B32" s="6"/>
      <c r="C32" s="6"/>
      <c r="D32" s="3"/>
      <c r="E32" s="3"/>
      <c r="F32" s="3"/>
      <c r="G32" s="4"/>
      <c r="N32" s="2"/>
      <c r="O32" s="2"/>
      <c r="P32" s="2"/>
      <c r="V32" s="268"/>
    </row>
    <row r="33" spans="1:25" s="18" customFormat="1">
      <c r="A33" s="6"/>
      <c r="B33" s="6"/>
      <c r="C33" s="6"/>
      <c r="D33" s="3"/>
      <c r="E33" s="3"/>
      <c r="F33" s="3"/>
      <c r="G33" s="4"/>
      <c r="N33" s="2"/>
      <c r="O33" s="2"/>
      <c r="P33" s="2"/>
      <c r="V33" s="268"/>
    </row>
    <row r="34" spans="1:25" ht="28" customHeight="1">
      <c r="B34" s="110" t="s">
        <v>64</v>
      </c>
      <c r="C34" s="110" t="s">
        <v>65</v>
      </c>
      <c r="D34" s="111" t="s">
        <v>66</v>
      </c>
      <c r="E34" s="110" t="s">
        <v>67</v>
      </c>
      <c r="F34" s="111" t="s">
        <v>68</v>
      </c>
      <c r="G34" s="114"/>
      <c r="H34" s="112" t="s">
        <v>2</v>
      </c>
      <c r="I34" s="113" t="s">
        <v>66</v>
      </c>
      <c r="J34" s="112" t="s">
        <v>67</v>
      </c>
      <c r="K34" s="113" t="s">
        <v>68</v>
      </c>
      <c r="L34" s="114"/>
      <c r="M34" s="115"/>
      <c r="N34" s="115"/>
      <c r="R34" s="90"/>
    </row>
    <row r="35" spans="1:25" ht="16" customHeight="1">
      <c r="B35" s="116">
        <f>$E$5</f>
        <v>44</v>
      </c>
      <c r="C35" s="116">
        <f>$E$6</f>
        <v>42</v>
      </c>
      <c r="D35" s="132">
        <f>Calculator!J16</f>
        <v>90</v>
      </c>
      <c r="E35" s="116">
        <f>B35-C35</f>
        <v>2</v>
      </c>
      <c r="F35" s="117">
        <f>PI()/180*D35</f>
        <v>1.5707963267948966</v>
      </c>
      <c r="G35" s="114"/>
      <c r="H35" s="179" t="s">
        <v>77</v>
      </c>
      <c r="I35" s="138">
        <f>C75</f>
        <v>90</v>
      </c>
      <c r="J35" s="119">
        <f t="shared" ref="J35:J43" si="8">H19</f>
        <v>-0.6961915056028205</v>
      </c>
      <c r="K35" s="120">
        <f>PI()/180*I35</f>
        <v>1.5707963267948966</v>
      </c>
      <c r="L35" s="114"/>
      <c r="M35" s="115"/>
      <c r="N35" s="115"/>
      <c r="R35" s="90"/>
    </row>
    <row r="36" spans="1:25">
      <c r="B36" s="116">
        <f>$E$5</f>
        <v>44</v>
      </c>
      <c r="C36" s="116">
        <f>$E$6</f>
        <v>42</v>
      </c>
      <c r="D36" s="132">
        <f>D35</f>
        <v>90</v>
      </c>
      <c r="E36" s="116">
        <f>B36-C36</f>
        <v>2</v>
      </c>
      <c r="F36" s="117">
        <f>PI()/180*D36</f>
        <v>1.5707963267948966</v>
      </c>
      <c r="G36" s="121"/>
      <c r="H36" s="119" t="s">
        <v>45</v>
      </c>
      <c r="I36" s="138">
        <f>C76</f>
        <v>90</v>
      </c>
      <c r="J36" s="119">
        <f t="shared" si="8"/>
        <v>-1.0442872584042306</v>
      </c>
      <c r="K36" s="120">
        <f>PI()/180*I36</f>
        <v>1.5707963267948966</v>
      </c>
      <c r="L36" s="121"/>
      <c r="M36" s="115"/>
      <c r="N36" s="115"/>
      <c r="R36" s="90"/>
    </row>
    <row r="37" spans="1:25">
      <c r="B37" s="116">
        <f t="shared" ref="B37:B43" si="9">$E$5</f>
        <v>44</v>
      </c>
      <c r="C37" s="116">
        <f t="shared" ref="C37:C43" si="10">$E$6</f>
        <v>42</v>
      </c>
      <c r="D37" s="132">
        <f>D35</f>
        <v>90</v>
      </c>
      <c r="E37" s="116">
        <f t="shared" ref="E37:E43" si="11">B37-C37</f>
        <v>2</v>
      </c>
      <c r="F37" s="117">
        <f t="shared" ref="F37:F43" si="12">PI()/180*D37</f>
        <v>1.5707963267948966</v>
      </c>
      <c r="G37" s="121"/>
      <c r="H37" s="119" t="s">
        <v>46</v>
      </c>
      <c r="I37" s="138">
        <f>C77</f>
        <v>90</v>
      </c>
      <c r="J37" s="119">
        <f t="shared" si="8"/>
        <v>-1.5664308876063462</v>
      </c>
      <c r="K37" s="120">
        <f t="shared" ref="K37:K43" si="13">PI()/180*I37</f>
        <v>1.5707963267948966</v>
      </c>
      <c r="L37" s="121"/>
      <c r="M37" s="115"/>
      <c r="N37" s="115"/>
      <c r="R37" s="90"/>
    </row>
    <row r="38" spans="1:25">
      <c r="B38" s="116">
        <f t="shared" si="9"/>
        <v>44</v>
      </c>
      <c r="C38" s="116">
        <f t="shared" si="10"/>
        <v>42</v>
      </c>
      <c r="D38" s="132">
        <f>D35</f>
        <v>90</v>
      </c>
      <c r="E38" s="116">
        <f t="shared" si="11"/>
        <v>2</v>
      </c>
      <c r="F38" s="117">
        <f t="shared" si="12"/>
        <v>1.5707963267948966</v>
      </c>
      <c r="G38" s="121"/>
      <c r="H38" s="119" t="s">
        <v>47</v>
      </c>
      <c r="I38" s="138">
        <f>C78</f>
        <v>90</v>
      </c>
      <c r="J38" s="119">
        <f t="shared" si="8"/>
        <v>-2.0885745168084613</v>
      </c>
      <c r="K38" s="120">
        <f t="shared" si="13"/>
        <v>1.5707963267948966</v>
      </c>
      <c r="L38" s="121"/>
      <c r="M38" s="122"/>
      <c r="N38" s="122"/>
      <c r="R38" s="105"/>
    </row>
    <row r="39" spans="1:25">
      <c r="B39" s="116">
        <f t="shared" si="9"/>
        <v>44</v>
      </c>
      <c r="C39" s="116">
        <f t="shared" si="10"/>
        <v>42</v>
      </c>
      <c r="D39" s="132">
        <f>D35</f>
        <v>90</v>
      </c>
      <c r="E39" s="116">
        <f t="shared" si="11"/>
        <v>2</v>
      </c>
      <c r="F39" s="117">
        <f t="shared" si="12"/>
        <v>1.5707963267948966</v>
      </c>
      <c r="G39" s="121"/>
      <c r="H39" s="119" t="s">
        <v>48</v>
      </c>
      <c r="I39" s="138">
        <f>C79</f>
        <v>90</v>
      </c>
      <c r="J39" s="119">
        <f t="shared" si="8"/>
        <v>-2.6107181460105768</v>
      </c>
      <c r="K39" s="120">
        <f t="shared" si="13"/>
        <v>1.5707963267948966</v>
      </c>
      <c r="L39" s="121"/>
      <c r="M39" s="122"/>
      <c r="N39" s="122"/>
      <c r="R39" s="105"/>
    </row>
    <row r="40" spans="1:25">
      <c r="B40" s="116">
        <f t="shared" si="9"/>
        <v>44</v>
      </c>
      <c r="C40" s="116">
        <f t="shared" si="10"/>
        <v>42</v>
      </c>
      <c r="D40" s="132">
        <f>D37</f>
        <v>90</v>
      </c>
      <c r="E40" s="116">
        <f t="shared" ref="E40" si="14">B40-C40</f>
        <v>2</v>
      </c>
      <c r="F40" s="117">
        <f t="shared" ref="F40" si="15">PI()/180*D40</f>
        <v>1.5707963267948966</v>
      </c>
      <c r="G40" s="121"/>
      <c r="H40" s="119"/>
      <c r="I40" s="138">
        <f>C81</f>
        <v>90</v>
      </c>
      <c r="J40" s="119">
        <f t="shared" si="8"/>
        <v>-2.784766022411282</v>
      </c>
      <c r="K40" s="120">
        <f t="shared" ref="K40" si="16">PI()/180*I40</f>
        <v>1.5707963267948966</v>
      </c>
      <c r="L40" s="121"/>
      <c r="M40" s="122"/>
      <c r="N40" s="122"/>
      <c r="R40" s="105"/>
    </row>
    <row r="41" spans="1:25">
      <c r="B41" s="116">
        <f t="shared" si="9"/>
        <v>44</v>
      </c>
      <c r="C41" s="116">
        <f t="shared" si="10"/>
        <v>42</v>
      </c>
      <c r="D41" s="132">
        <f>D35</f>
        <v>90</v>
      </c>
      <c r="E41" s="116">
        <f t="shared" si="11"/>
        <v>2</v>
      </c>
      <c r="F41" s="117">
        <f t="shared" si="12"/>
        <v>1.5707963267948966</v>
      </c>
      <c r="G41" s="121"/>
      <c r="H41" s="119" t="s">
        <v>49</v>
      </c>
      <c r="I41" s="138">
        <f t="shared" ref="I41:I43" si="17">C81</f>
        <v>90</v>
      </c>
      <c r="J41" s="119">
        <f t="shared" si="8"/>
        <v>-3.1328617752126924</v>
      </c>
      <c r="K41" s="120">
        <f t="shared" si="13"/>
        <v>1.5707963267948966</v>
      </c>
      <c r="L41" s="121"/>
      <c r="M41" s="122"/>
      <c r="N41" s="122"/>
      <c r="R41" s="105"/>
    </row>
    <row r="42" spans="1:25">
      <c r="B42" s="116">
        <f t="shared" si="9"/>
        <v>44</v>
      </c>
      <c r="C42" s="116">
        <f t="shared" si="10"/>
        <v>42</v>
      </c>
      <c r="D42" s="132">
        <f>D35</f>
        <v>90</v>
      </c>
      <c r="E42" s="116">
        <f t="shared" si="11"/>
        <v>2</v>
      </c>
      <c r="F42" s="117">
        <f t="shared" si="12"/>
        <v>1.5707963267948966</v>
      </c>
      <c r="G42" s="121"/>
      <c r="H42" s="119" t="s">
        <v>50</v>
      </c>
      <c r="I42" s="138">
        <f t="shared" si="17"/>
        <v>90</v>
      </c>
      <c r="J42" s="119">
        <f t="shared" si="8"/>
        <v>-3.6550054044148075</v>
      </c>
      <c r="K42" s="120">
        <f t="shared" si="13"/>
        <v>1.5707963267948966</v>
      </c>
      <c r="L42" s="121"/>
      <c r="M42" s="122"/>
      <c r="N42" s="122"/>
      <c r="R42" s="105"/>
    </row>
    <row r="43" spans="1:25">
      <c r="B43" s="116">
        <f t="shared" si="9"/>
        <v>44</v>
      </c>
      <c r="C43" s="116">
        <f t="shared" si="10"/>
        <v>42</v>
      </c>
      <c r="D43" s="132">
        <f>D35</f>
        <v>90</v>
      </c>
      <c r="E43" s="116">
        <f t="shared" si="11"/>
        <v>2</v>
      </c>
      <c r="F43" s="117">
        <f t="shared" si="12"/>
        <v>1.5707963267948966</v>
      </c>
      <c r="G43" s="121"/>
      <c r="H43" s="119" t="s">
        <v>51</v>
      </c>
      <c r="I43" s="138">
        <f t="shared" si="17"/>
        <v>90</v>
      </c>
      <c r="J43" s="119">
        <f t="shared" si="8"/>
        <v>-4.1771490336169226</v>
      </c>
      <c r="K43" s="120">
        <f t="shared" si="13"/>
        <v>1.5707963267948966</v>
      </c>
      <c r="L43" s="121"/>
      <c r="M43" s="122"/>
      <c r="N43" s="122"/>
      <c r="R43" s="105"/>
    </row>
    <row r="44" spans="1:25" s="18" customFormat="1" ht="14" thickBot="1">
      <c r="A44" s="121"/>
      <c r="B44" s="123"/>
      <c r="C44" s="123"/>
      <c r="D44" s="121"/>
      <c r="E44" s="123"/>
      <c r="F44" s="124"/>
      <c r="G44" s="121"/>
      <c r="H44" s="123"/>
      <c r="I44" s="123"/>
      <c r="J44" s="121"/>
      <c r="K44" s="123"/>
      <c r="L44" s="124"/>
      <c r="M44" s="121"/>
      <c r="N44" s="123"/>
      <c r="O44" s="123"/>
      <c r="P44" s="106"/>
      <c r="Q44" s="106"/>
      <c r="R44" s="105"/>
      <c r="S44" s="108"/>
      <c r="T44" s="106"/>
      <c r="V44" s="268"/>
    </row>
    <row r="45" spans="1:25" s="18" customFormat="1" ht="27" customHeight="1">
      <c r="A45" s="405" t="s">
        <v>103</v>
      </c>
      <c r="B45" s="429"/>
      <c r="C45" s="429"/>
      <c r="D45" s="429"/>
      <c r="E45" s="429"/>
      <c r="F45" s="429"/>
      <c r="G45" s="429"/>
      <c r="H45" s="429"/>
      <c r="I45" s="429"/>
      <c r="J45" s="429"/>
      <c r="K45" s="429"/>
      <c r="L45" s="429"/>
      <c r="M45" s="429"/>
      <c r="N45" s="429"/>
      <c r="O45" s="429"/>
      <c r="P45" s="429"/>
      <c r="Q45" s="430"/>
      <c r="R45" s="105"/>
      <c r="S45" s="108"/>
      <c r="T45" s="106"/>
      <c r="V45" s="268"/>
    </row>
    <row r="46" spans="1:25" s="18" customFormat="1">
      <c r="A46" s="164"/>
      <c r="B46" s="123"/>
      <c r="C46" s="123"/>
      <c r="D46" s="121"/>
      <c r="E46" s="123"/>
      <c r="F46" s="124"/>
      <c r="G46" s="121"/>
      <c r="H46" s="123"/>
      <c r="I46" s="123"/>
      <c r="J46" s="121"/>
      <c r="K46" s="123"/>
      <c r="L46" s="124"/>
      <c r="M46" s="121"/>
      <c r="N46" s="123"/>
      <c r="O46" s="123"/>
      <c r="P46" s="106"/>
      <c r="Q46" s="165"/>
      <c r="R46" s="106"/>
      <c r="S46" s="108"/>
      <c r="T46" s="106"/>
      <c r="V46" s="268"/>
    </row>
    <row r="47" spans="1:25" s="18" customFormat="1">
      <c r="A47" s="166"/>
      <c r="B47" s="151"/>
      <c r="C47" s="238" t="s">
        <v>93</v>
      </c>
      <c r="D47" s="133"/>
      <c r="E47" s="134"/>
      <c r="F47" s="134"/>
      <c r="G47" s="134"/>
      <c r="H47" s="133" t="s">
        <v>2</v>
      </c>
      <c r="I47" s="133"/>
      <c r="J47" s="151"/>
      <c r="K47" s="121"/>
      <c r="L47" s="151"/>
      <c r="M47" s="234" t="s">
        <v>95</v>
      </c>
      <c r="N47" s="121"/>
      <c r="O47" s="123"/>
      <c r="P47" s="124"/>
      <c r="Q47" s="165"/>
      <c r="R47" s="106"/>
      <c r="S47" s="106"/>
      <c r="T47" s="106"/>
      <c r="U47" s="106"/>
      <c r="V47" s="257"/>
      <c r="W47" s="109"/>
      <c r="X47" s="109"/>
    </row>
    <row r="48" spans="1:25" s="18" customFormat="1">
      <c r="A48" s="166"/>
      <c r="B48" s="151"/>
      <c r="C48" s="127" t="s">
        <v>91</v>
      </c>
      <c r="D48" s="127" t="s">
        <v>92</v>
      </c>
      <c r="E48" s="134"/>
      <c r="F48" s="134"/>
      <c r="G48" s="134"/>
      <c r="H48" s="118"/>
      <c r="I48" s="119" t="s">
        <v>91</v>
      </c>
      <c r="J48" s="119" t="s">
        <v>92</v>
      </c>
      <c r="K48" s="121"/>
      <c r="L48" s="151"/>
      <c r="M48" s="128" t="s">
        <v>91</v>
      </c>
      <c r="N48" s="128" t="s">
        <v>92</v>
      </c>
      <c r="O48" s="121"/>
      <c r="P48" s="123"/>
      <c r="Q48" s="165"/>
      <c r="R48" s="106"/>
      <c r="S48" s="106"/>
      <c r="T48" s="109"/>
      <c r="U48" s="106"/>
      <c r="V48" s="106"/>
      <c r="W48" s="109"/>
      <c r="X48" s="109"/>
      <c r="Y48" s="109"/>
    </row>
    <row r="49" spans="1:25" s="18" customFormat="1">
      <c r="A49" s="166"/>
      <c r="B49" s="151"/>
      <c r="C49" s="127">
        <f t="shared" ref="C49:C57" si="18">E35*COS(2*F35)</f>
        <v>-2</v>
      </c>
      <c r="D49" s="127">
        <f t="shared" ref="D49:D57" si="19">E35*SIN(2*F35)</f>
        <v>2.45029690981724E-16</v>
      </c>
      <c r="E49" s="134"/>
      <c r="F49" s="134"/>
      <c r="G49" s="134"/>
      <c r="H49" s="179" t="s">
        <v>77</v>
      </c>
      <c r="I49" s="119">
        <f t="shared" ref="I49:I57" si="20">J35*COS(2*K35)</f>
        <v>0.6961915056028205</v>
      </c>
      <c r="J49" s="119">
        <f t="shared" ref="J49:J57" si="21">J35*SIN(2*K35)</f>
        <v>-8.5293794740980143E-17</v>
      </c>
      <c r="K49" s="121"/>
      <c r="L49" s="151"/>
      <c r="M49" s="128">
        <f t="shared" ref="M49:M57" si="22">I49+C49</f>
        <v>-1.3038084943971795</v>
      </c>
      <c r="N49" s="128">
        <f t="shared" ref="N49:N57" si="23">J49+D49</f>
        <v>1.5973589624074386E-16</v>
      </c>
      <c r="O49" s="121"/>
      <c r="P49" s="123"/>
      <c r="Q49" s="165"/>
      <c r="R49" s="106"/>
      <c r="S49" s="106"/>
      <c r="T49" s="109"/>
      <c r="U49" s="106"/>
      <c r="V49" s="106"/>
      <c r="W49" s="109"/>
      <c r="X49" s="109"/>
      <c r="Y49" s="109"/>
    </row>
    <row r="50" spans="1:25" s="18" customFormat="1">
      <c r="A50" s="166"/>
      <c r="B50" s="151"/>
      <c r="C50" s="127">
        <f t="shared" si="18"/>
        <v>-2</v>
      </c>
      <c r="D50" s="127">
        <f t="shared" si="19"/>
        <v>2.45029690981724E-16</v>
      </c>
      <c r="E50" s="134"/>
      <c r="F50" s="134"/>
      <c r="G50" s="134"/>
      <c r="H50" s="119" t="s">
        <v>45</v>
      </c>
      <c r="I50" s="119">
        <f t="shared" si="20"/>
        <v>1.0442872584042306</v>
      </c>
      <c r="J50" s="119">
        <f t="shared" si="21"/>
        <v>-1.2794069211147019E-16</v>
      </c>
      <c r="K50" s="123"/>
      <c r="L50" s="151"/>
      <c r="M50" s="128">
        <f t="shared" si="22"/>
        <v>-0.95571274159576936</v>
      </c>
      <c r="N50" s="128">
        <f t="shared" si="23"/>
        <v>1.1708899887025381E-16</v>
      </c>
      <c r="O50" s="121"/>
      <c r="P50" s="123"/>
      <c r="Q50" s="165"/>
      <c r="R50" s="106"/>
      <c r="S50" s="106"/>
      <c r="T50" s="109"/>
      <c r="U50" s="106"/>
      <c r="V50" s="106"/>
      <c r="W50" s="109"/>
      <c r="X50" s="109"/>
      <c r="Y50" s="109"/>
    </row>
    <row r="51" spans="1:25" s="18" customFormat="1">
      <c r="A51" s="166"/>
      <c r="B51" s="151"/>
      <c r="C51" s="127">
        <f t="shared" si="18"/>
        <v>-2</v>
      </c>
      <c r="D51" s="127">
        <f t="shared" si="19"/>
        <v>2.45029690981724E-16</v>
      </c>
      <c r="E51" s="134"/>
      <c r="F51" s="134"/>
      <c r="G51" s="134"/>
      <c r="H51" s="119" t="s">
        <v>46</v>
      </c>
      <c r="I51" s="119">
        <f t="shared" si="20"/>
        <v>1.5664308876063462</v>
      </c>
      <c r="J51" s="119">
        <f t="shared" si="21"/>
        <v>-1.9191103816720532E-16</v>
      </c>
      <c r="K51" s="123"/>
      <c r="L51" s="151"/>
      <c r="M51" s="128">
        <f t="shared" si="22"/>
        <v>-0.43356911239365381</v>
      </c>
      <c r="N51" s="128">
        <f t="shared" si="23"/>
        <v>5.311865281451868E-17</v>
      </c>
      <c r="O51" s="121"/>
      <c r="P51" s="123"/>
      <c r="Q51" s="165"/>
      <c r="R51" s="106"/>
      <c r="S51" s="106"/>
      <c r="T51" s="109"/>
      <c r="U51" s="106"/>
      <c r="V51" s="106"/>
      <c r="W51" s="109"/>
      <c r="X51" s="109"/>
      <c r="Y51" s="109"/>
    </row>
    <row r="52" spans="1:25" s="18" customFormat="1">
      <c r="A52" s="166"/>
      <c r="B52" s="151"/>
      <c r="C52" s="127">
        <f t="shared" si="18"/>
        <v>-2</v>
      </c>
      <c r="D52" s="127">
        <f t="shared" si="19"/>
        <v>2.45029690981724E-16</v>
      </c>
      <c r="E52" s="134"/>
      <c r="F52" s="134"/>
      <c r="G52" s="134"/>
      <c r="H52" s="119" t="s">
        <v>47</v>
      </c>
      <c r="I52" s="119">
        <f t="shared" si="20"/>
        <v>2.0885745168084613</v>
      </c>
      <c r="J52" s="119">
        <f t="shared" si="21"/>
        <v>-2.5588138422294038E-16</v>
      </c>
      <c r="K52" s="123"/>
      <c r="L52" s="151"/>
      <c r="M52" s="128">
        <f t="shared" si="22"/>
        <v>8.857451680846129E-2</v>
      </c>
      <c r="N52" s="128">
        <f t="shared" si="23"/>
        <v>-1.0851693241216379E-17</v>
      </c>
      <c r="O52" s="121"/>
      <c r="P52" s="123"/>
      <c r="Q52" s="165"/>
      <c r="R52" s="106"/>
      <c r="S52" s="106"/>
      <c r="T52" s="109"/>
      <c r="U52" s="106"/>
      <c r="V52" s="106"/>
      <c r="W52" s="109"/>
      <c r="X52" s="109"/>
      <c r="Y52" s="109"/>
    </row>
    <row r="53" spans="1:25" s="18" customFormat="1">
      <c r="A53" s="166"/>
      <c r="B53" s="151"/>
      <c r="C53" s="127">
        <f t="shared" si="18"/>
        <v>-2</v>
      </c>
      <c r="D53" s="127">
        <f t="shared" si="19"/>
        <v>2.45029690981724E-16</v>
      </c>
      <c r="E53" s="134"/>
      <c r="F53" s="134"/>
      <c r="G53" s="134"/>
      <c r="H53" s="119" t="s">
        <v>48</v>
      </c>
      <c r="I53" s="119">
        <f t="shared" si="20"/>
        <v>2.6107181460105768</v>
      </c>
      <c r="J53" s="119">
        <f t="shared" si="21"/>
        <v>-3.1985173027867551E-16</v>
      </c>
      <c r="K53" s="123"/>
      <c r="L53" s="151"/>
      <c r="M53" s="128">
        <f t="shared" si="22"/>
        <v>0.61071814601057683</v>
      </c>
      <c r="N53" s="128">
        <f t="shared" si="23"/>
        <v>-7.4822039296951511E-17</v>
      </c>
      <c r="O53" s="121"/>
      <c r="P53" s="123"/>
      <c r="Q53" s="165"/>
      <c r="R53" s="106"/>
      <c r="S53" s="106"/>
      <c r="T53" s="109"/>
      <c r="U53" s="106"/>
      <c r="V53" s="106"/>
      <c r="W53" s="109"/>
      <c r="X53" s="109"/>
      <c r="Y53" s="109"/>
    </row>
    <row r="54" spans="1:25" s="18" customFormat="1">
      <c r="A54" s="166"/>
      <c r="B54" s="151"/>
      <c r="C54" s="127">
        <f t="shared" si="18"/>
        <v>-2</v>
      </c>
      <c r="D54" s="127">
        <f t="shared" si="19"/>
        <v>2.45029690981724E-16</v>
      </c>
      <c r="E54" s="134"/>
      <c r="F54" s="134"/>
      <c r="G54" s="134"/>
      <c r="H54" s="119"/>
      <c r="I54" s="119">
        <f t="shared" si="20"/>
        <v>2.784766022411282</v>
      </c>
      <c r="J54" s="119">
        <f t="shared" si="21"/>
        <v>-3.4117517896392057E-16</v>
      </c>
      <c r="K54" s="123"/>
      <c r="L54" s="151"/>
      <c r="M54" s="128">
        <f t="shared" si="22"/>
        <v>0.78476602241128202</v>
      </c>
      <c r="N54" s="128">
        <f t="shared" si="23"/>
        <v>-9.6145487982196571E-17</v>
      </c>
      <c r="O54" s="121"/>
      <c r="P54" s="123"/>
      <c r="Q54" s="165"/>
      <c r="R54" s="106"/>
      <c r="S54" s="106"/>
      <c r="T54" s="109"/>
      <c r="U54" s="106"/>
      <c r="V54" s="106"/>
      <c r="W54" s="109"/>
      <c r="X54" s="109"/>
      <c r="Y54" s="109"/>
    </row>
    <row r="55" spans="1:25" s="18" customFormat="1">
      <c r="A55" s="166"/>
      <c r="B55" s="151"/>
      <c r="C55" s="127">
        <f t="shared" si="18"/>
        <v>-2</v>
      </c>
      <c r="D55" s="127">
        <f t="shared" si="19"/>
        <v>2.45029690981724E-16</v>
      </c>
      <c r="E55" s="134"/>
      <c r="F55" s="134"/>
      <c r="G55" s="134"/>
      <c r="H55" s="119" t="s">
        <v>49</v>
      </c>
      <c r="I55" s="119">
        <f t="shared" si="20"/>
        <v>3.1328617752126924</v>
      </c>
      <c r="J55" s="119">
        <f t="shared" si="21"/>
        <v>-3.8382207633441064E-16</v>
      </c>
      <c r="K55" s="123"/>
      <c r="L55" s="151"/>
      <c r="M55" s="128">
        <f t="shared" si="22"/>
        <v>1.1328617752126924</v>
      </c>
      <c r="N55" s="128">
        <f t="shared" si="23"/>
        <v>-1.3879238535268664E-16</v>
      </c>
      <c r="O55" s="121"/>
      <c r="P55" s="123"/>
      <c r="Q55" s="165"/>
      <c r="R55" s="106"/>
      <c r="S55" s="106"/>
      <c r="T55" s="109"/>
      <c r="U55" s="106"/>
      <c r="V55" s="106"/>
      <c r="W55" s="109"/>
      <c r="X55" s="109"/>
      <c r="Y55" s="109"/>
    </row>
    <row r="56" spans="1:25" s="18" customFormat="1">
      <c r="A56" s="166"/>
      <c r="B56" s="151"/>
      <c r="C56" s="127">
        <f t="shared" si="18"/>
        <v>-2</v>
      </c>
      <c r="D56" s="127">
        <f t="shared" si="19"/>
        <v>2.45029690981724E-16</v>
      </c>
      <c r="E56" s="134"/>
      <c r="F56" s="134"/>
      <c r="G56" s="134"/>
      <c r="H56" s="119" t="s">
        <v>50</v>
      </c>
      <c r="I56" s="119">
        <f t="shared" si="20"/>
        <v>3.6550054044148075</v>
      </c>
      <c r="J56" s="119">
        <f t="shared" si="21"/>
        <v>-4.4779242239014568E-16</v>
      </c>
      <c r="K56" s="123"/>
      <c r="L56" s="151"/>
      <c r="M56" s="128">
        <f t="shared" si="22"/>
        <v>1.6550054044148075</v>
      </c>
      <c r="N56" s="128">
        <f t="shared" si="23"/>
        <v>-2.0276273140842168E-16</v>
      </c>
      <c r="O56" s="121"/>
      <c r="P56" s="123"/>
      <c r="Q56" s="165"/>
      <c r="R56" s="106"/>
      <c r="S56" s="106"/>
      <c r="T56" s="109"/>
      <c r="U56" s="106"/>
      <c r="V56" s="106"/>
      <c r="W56" s="109"/>
      <c r="X56" s="109"/>
      <c r="Y56" s="109"/>
    </row>
    <row r="57" spans="1:25" s="18" customFormat="1">
      <c r="A57" s="166"/>
      <c r="B57" s="151"/>
      <c r="C57" s="127">
        <f t="shared" si="18"/>
        <v>-2</v>
      </c>
      <c r="D57" s="127">
        <f t="shared" si="19"/>
        <v>2.45029690981724E-16</v>
      </c>
      <c r="E57" s="134"/>
      <c r="F57" s="134"/>
      <c r="G57" s="134"/>
      <c r="H57" s="119" t="s">
        <v>51</v>
      </c>
      <c r="I57" s="119">
        <f t="shared" si="20"/>
        <v>4.1771490336169226</v>
      </c>
      <c r="J57" s="119">
        <f t="shared" si="21"/>
        <v>-5.1176276844588076E-16</v>
      </c>
      <c r="K57" s="123"/>
      <c r="L57" s="151"/>
      <c r="M57" s="128">
        <f t="shared" si="22"/>
        <v>2.1771490336169226</v>
      </c>
      <c r="N57" s="128">
        <f t="shared" si="23"/>
        <v>-2.6673307746415676E-16</v>
      </c>
      <c r="O57" s="121"/>
      <c r="P57" s="123"/>
      <c r="Q57" s="165"/>
      <c r="R57" s="106"/>
      <c r="S57" s="106"/>
      <c r="T57" s="109"/>
      <c r="U57" s="106"/>
      <c r="V57" s="106"/>
      <c r="W57" s="109"/>
      <c r="X57" s="109"/>
      <c r="Y57" s="109"/>
    </row>
    <row r="58" spans="1:25" s="18" customFormat="1" ht="14" thickBot="1">
      <c r="A58" s="168"/>
      <c r="B58" s="169"/>
      <c r="C58" s="170"/>
      <c r="D58" s="170"/>
      <c r="E58" s="171"/>
      <c r="F58" s="171"/>
      <c r="G58" s="169"/>
      <c r="H58" s="169"/>
      <c r="I58" s="170"/>
      <c r="J58" s="170"/>
      <c r="K58" s="171"/>
      <c r="L58" s="171"/>
      <c r="M58" s="169"/>
      <c r="N58" s="169"/>
      <c r="O58" s="170"/>
      <c r="P58" s="170"/>
      <c r="Q58" s="252"/>
      <c r="R58" s="106"/>
      <c r="S58" s="106"/>
      <c r="T58" s="106"/>
      <c r="U58" s="109"/>
      <c r="V58" s="257"/>
    </row>
    <row r="59" spans="1:25" s="18" customFormat="1" ht="27" customHeight="1">
      <c r="A59" s="405" t="s">
        <v>102</v>
      </c>
      <c r="B59" s="429"/>
      <c r="C59" s="429"/>
      <c r="D59" s="429"/>
      <c r="E59" s="429"/>
      <c r="F59" s="429"/>
      <c r="G59" s="429"/>
      <c r="H59" s="429"/>
      <c r="I59" s="429"/>
      <c r="J59" s="429"/>
      <c r="K59" s="429"/>
      <c r="L59" s="429"/>
      <c r="M59" s="429"/>
      <c r="N59" s="429"/>
      <c r="O59" s="429"/>
      <c r="P59" s="429"/>
      <c r="Q59" s="430"/>
      <c r="R59" s="121"/>
      <c r="S59" s="106"/>
      <c r="T59" s="106"/>
      <c r="U59" s="109"/>
      <c r="V59" s="257"/>
    </row>
    <row r="60" spans="1:25" s="18" customFormat="1">
      <c r="A60" s="173"/>
      <c r="B60" s="106"/>
      <c r="C60" s="106"/>
      <c r="D60" s="103"/>
      <c r="E60" s="106"/>
      <c r="F60" s="107"/>
      <c r="G60" s="103"/>
      <c r="H60" s="106"/>
      <c r="I60" s="106"/>
      <c r="J60" s="103"/>
      <c r="K60" s="106"/>
      <c r="L60" s="107"/>
      <c r="M60" s="103"/>
      <c r="N60" s="106"/>
      <c r="O60" s="106"/>
      <c r="P60" s="106"/>
      <c r="Q60" s="165"/>
      <c r="R60" s="106"/>
      <c r="S60" s="253"/>
      <c r="T60" s="106"/>
      <c r="V60" s="268"/>
    </row>
    <row r="61" spans="1:25" s="18" customFormat="1">
      <c r="A61" s="173"/>
      <c r="B61" s="151"/>
      <c r="C61" s="234" t="s">
        <v>98</v>
      </c>
      <c r="D61" s="133"/>
      <c r="E61" s="106"/>
      <c r="F61" s="107"/>
      <c r="G61" s="103"/>
      <c r="H61" s="133" t="s">
        <v>2</v>
      </c>
      <c r="I61" s="133"/>
      <c r="J61" s="151"/>
      <c r="K61" s="121"/>
      <c r="L61" s="151"/>
      <c r="M61" s="234" t="s">
        <v>99</v>
      </c>
      <c r="N61" s="121"/>
      <c r="O61" s="106"/>
      <c r="P61" s="106"/>
      <c r="Q61" s="165"/>
      <c r="R61" s="108"/>
      <c r="S61" s="106"/>
      <c r="V61" s="268"/>
    </row>
    <row r="62" spans="1:25" s="18" customFormat="1">
      <c r="A62" s="173"/>
      <c r="B62" s="151"/>
      <c r="C62" s="127" t="s">
        <v>91</v>
      </c>
      <c r="D62" s="127" t="s">
        <v>92</v>
      </c>
      <c r="E62" s="106"/>
      <c r="F62" s="107"/>
      <c r="G62" s="103"/>
      <c r="H62" s="118"/>
      <c r="I62" s="119" t="s">
        <v>91</v>
      </c>
      <c r="J62" s="119" t="s">
        <v>92</v>
      </c>
      <c r="K62" s="121"/>
      <c r="L62" s="151"/>
      <c r="M62" s="128" t="s">
        <v>91</v>
      </c>
      <c r="N62" s="128" t="s">
        <v>92</v>
      </c>
      <c r="O62" s="106"/>
      <c r="P62" s="106"/>
      <c r="Q62" s="165"/>
      <c r="R62" s="108"/>
      <c r="S62" s="106"/>
      <c r="V62" s="268"/>
    </row>
    <row r="63" spans="1:25" s="18" customFormat="1">
      <c r="A63" s="173"/>
      <c r="B63" s="151"/>
      <c r="C63" s="127">
        <f>C49+$R$3</f>
        <v>-2.15</v>
      </c>
      <c r="D63" s="127">
        <f>D49+$S$3</f>
        <v>2.634069178053533E-16</v>
      </c>
      <c r="E63" s="106"/>
      <c r="F63" s="107"/>
      <c r="G63" s="103"/>
      <c r="H63" s="119" t="s">
        <v>77</v>
      </c>
      <c r="I63" s="119">
        <f t="shared" ref="I63:I71" si="24">J35*COS(2*K35)</f>
        <v>0.6961915056028205</v>
      </c>
      <c r="J63" s="119">
        <f t="shared" ref="J63:J71" si="25">J35*SIN(2*K35)</f>
        <v>-8.5293794740980143E-17</v>
      </c>
      <c r="K63" s="123"/>
      <c r="L63" s="151"/>
      <c r="M63" s="128">
        <f t="shared" ref="M63:M71" si="26">I63+C63</f>
        <v>-1.4538084943971794</v>
      </c>
      <c r="N63" s="128">
        <f t="shared" ref="N63:N71" si="27">J63+D63</f>
        <v>1.7811312306437316E-16</v>
      </c>
      <c r="O63" s="106"/>
      <c r="P63" s="106"/>
      <c r="Q63" s="165"/>
      <c r="R63" s="108"/>
      <c r="S63" s="106"/>
      <c r="V63" s="268"/>
    </row>
    <row r="64" spans="1:25" s="18" customFormat="1">
      <c r="A64" s="173"/>
      <c r="B64" s="151"/>
      <c r="C64" s="127">
        <f>C50+$R$3</f>
        <v>-2.15</v>
      </c>
      <c r="D64" s="127">
        <f>D50+$S$3</f>
        <v>2.634069178053533E-16</v>
      </c>
      <c r="E64" s="106"/>
      <c r="F64" s="107"/>
      <c r="G64" s="103"/>
      <c r="H64" s="119" t="s">
        <v>45</v>
      </c>
      <c r="I64" s="119">
        <f t="shared" si="24"/>
        <v>1.0442872584042306</v>
      </c>
      <c r="J64" s="119">
        <f t="shared" si="25"/>
        <v>-1.2794069211147019E-16</v>
      </c>
      <c r="K64" s="123"/>
      <c r="L64" s="151"/>
      <c r="M64" s="128">
        <f t="shared" si="26"/>
        <v>-1.1057127415957693</v>
      </c>
      <c r="N64" s="128">
        <f t="shared" si="27"/>
        <v>1.3546622569388311E-16</v>
      </c>
      <c r="O64" s="106"/>
      <c r="P64" s="106"/>
      <c r="Q64" s="165"/>
      <c r="R64" s="108"/>
      <c r="S64" s="106"/>
      <c r="V64" s="268"/>
    </row>
    <row r="65" spans="1:22" s="18" customFormat="1">
      <c r="A65" s="173"/>
      <c r="B65" s="151"/>
      <c r="C65" s="127">
        <f>C51+$R$3</f>
        <v>-2.15</v>
      </c>
      <c r="D65" s="127">
        <f>D51+$S$3</f>
        <v>2.634069178053533E-16</v>
      </c>
      <c r="E65" s="106"/>
      <c r="F65" s="107"/>
      <c r="G65" s="103"/>
      <c r="H65" s="119" t="s">
        <v>46</v>
      </c>
      <c r="I65" s="119">
        <f t="shared" si="24"/>
        <v>1.5664308876063462</v>
      </c>
      <c r="J65" s="119">
        <f t="shared" si="25"/>
        <v>-1.9191103816720532E-16</v>
      </c>
      <c r="K65" s="123"/>
      <c r="L65" s="151"/>
      <c r="M65" s="128">
        <f t="shared" si="26"/>
        <v>-0.58356911239365372</v>
      </c>
      <c r="N65" s="128">
        <f t="shared" si="27"/>
        <v>7.149587963814798E-17</v>
      </c>
      <c r="O65" s="106"/>
      <c r="P65" s="106"/>
      <c r="Q65" s="165"/>
      <c r="R65" s="108"/>
      <c r="S65" s="106"/>
      <c r="V65" s="268"/>
    </row>
    <row r="66" spans="1:22" s="18" customFormat="1">
      <c r="A66" s="173"/>
      <c r="B66" s="151"/>
      <c r="C66" s="127">
        <f>C52+$R$3</f>
        <v>-2.15</v>
      </c>
      <c r="D66" s="127">
        <f>D52+$S$3</f>
        <v>2.634069178053533E-16</v>
      </c>
      <c r="E66" s="106"/>
      <c r="F66" s="107"/>
      <c r="G66" s="103"/>
      <c r="H66" s="119" t="s">
        <v>47</v>
      </c>
      <c r="I66" s="119">
        <f t="shared" si="24"/>
        <v>2.0885745168084613</v>
      </c>
      <c r="J66" s="119">
        <f t="shared" si="25"/>
        <v>-2.5588138422294038E-16</v>
      </c>
      <c r="K66" s="123"/>
      <c r="L66" s="151"/>
      <c r="M66" s="128">
        <f t="shared" si="26"/>
        <v>-6.1425483191538621E-2</v>
      </c>
      <c r="N66" s="128">
        <f t="shared" si="27"/>
        <v>7.5255335824129216E-18</v>
      </c>
      <c r="O66" s="106"/>
      <c r="P66" s="106"/>
      <c r="Q66" s="165"/>
      <c r="R66" s="108"/>
      <c r="S66" s="106"/>
      <c r="V66" s="268"/>
    </row>
    <row r="67" spans="1:22" s="18" customFormat="1">
      <c r="A67" s="173"/>
      <c r="B67" s="151"/>
      <c r="C67" s="127">
        <f>C53+$R$3</f>
        <v>-2.15</v>
      </c>
      <c r="D67" s="127">
        <f>D53+$S$3</f>
        <v>2.634069178053533E-16</v>
      </c>
      <c r="E67" s="106"/>
      <c r="F67" s="107"/>
      <c r="G67" s="103"/>
      <c r="H67" s="119" t="s">
        <v>48</v>
      </c>
      <c r="I67" s="119">
        <f t="shared" si="24"/>
        <v>2.6107181460105768</v>
      </c>
      <c r="J67" s="119">
        <f t="shared" si="25"/>
        <v>-3.1985173027867551E-16</v>
      </c>
      <c r="K67" s="123"/>
      <c r="L67" s="151"/>
      <c r="M67" s="128">
        <f t="shared" si="26"/>
        <v>0.46071814601057692</v>
      </c>
      <c r="N67" s="128">
        <f t="shared" si="27"/>
        <v>-5.6444812473322211E-17</v>
      </c>
      <c r="O67" s="106"/>
      <c r="P67" s="106"/>
      <c r="Q67" s="165"/>
      <c r="R67" s="108"/>
      <c r="S67" s="106"/>
      <c r="V67" s="268"/>
    </row>
    <row r="68" spans="1:22" s="18" customFormat="1">
      <c r="A68" s="173"/>
      <c r="B68" s="151"/>
      <c r="C68" s="127">
        <f t="shared" ref="C68" si="28">C55+$R$3</f>
        <v>-2.15</v>
      </c>
      <c r="D68" s="127">
        <f t="shared" ref="D68" si="29">D55+$S$3</f>
        <v>2.634069178053533E-16</v>
      </c>
      <c r="E68" s="106"/>
      <c r="F68" s="107"/>
      <c r="G68" s="103"/>
      <c r="H68" s="119"/>
      <c r="I68" s="119">
        <f t="shared" si="24"/>
        <v>2.784766022411282</v>
      </c>
      <c r="J68" s="119">
        <f t="shared" si="25"/>
        <v>-3.4117517896392057E-16</v>
      </c>
      <c r="K68" s="123"/>
      <c r="L68" s="151"/>
      <c r="M68" s="128">
        <f t="shared" si="26"/>
        <v>0.6347660224112821</v>
      </c>
      <c r="N68" s="128">
        <f t="shared" si="27"/>
        <v>-7.7768261158567271E-17</v>
      </c>
      <c r="O68" s="106"/>
      <c r="P68" s="106"/>
      <c r="Q68" s="165"/>
      <c r="R68" s="108"/>
      <c r="S68" s="106"/>
      <c r="V68" s="268"/>
    </row>
    <row r="69" spans="1:22" s="18" customFormat="1">
      <c r="A69" s="173"/>
      <c r="B69" s="151"/>
      <c r="C69" s="127">
        <f>C55+$R$3</f>
        <v>-2.15</v>
      </c>
      <c r="D69" s="127">
        <f>D55+$S$3</f>
        <v>2.634069178053533E-16</v>
      </c>
      <c r="E69" s="106"/>
      <c r="F69" s="107"/>
      <c r="G69" s="103"/>
      <c r="H69" s="119" t="s">
        <v>49</v>
      </c>
      <c r="I69" s="119">
        <f t="shared" si="24"/>
        <v>3.1328617752126924</v>
      </c>
      <c r="J69" s="119">
        <f t="shared" si="25"/>
        <v>-3.8382207633441064E-16</v>
      </c>
      <c r="K69" s="123"/>
      <c r="L69" s="151"/>
      <c r="M69" s="128">
        <f t="shared" si="26"/>
        <v>0.98286177521269247</v>
      </c>
      <c r="N69" s="128">
        <f t="shared" si="27"/>
        <v>-1.2041515852905734E-16</v>
      </c>
      <c r="O69" s="106"/>
      <c r="P69" s="106"/>
      <c r="Q69" s="165"/>
      <c r="R69" s="108"/>
      <c r="S69" s="106"/>
      <c r="V69" s="268"/>
    </row>
    <row r="70" spans="1:22" s="18" customFormat="1">
      <c r="A70" s="173"/>
      <c r="B70" s="151"/>
      <c r="C70" s="127">
        <f>C56+$R$3</f>
        <v>-2.15</v>
      </c>
      <c r="D70" s="127">
        <f>D56+$S$3</f>
        <v>2.634069178053533E-16</v>
      </c>
      <c r="E70" s="106"/>
      <c r="F70" s="107"/>
      <c r="G70" s="103"/>
      <c r="H70" s="119" t="s">
        <v>50</v>
      </c>
      <c r="I70" s="119">
        <f t="shared" si="24"/>
        <v>3.6550054044148075</v>
      </c>
      <c r="J70" s="119">
        <f t="shared" si="25"/>
        <v>-4.4779242239014568E-16</v>
      </c>
      <c r="K70" s="123"/>
      <c r="L70" s="151"/>
      <c r="M70" s="128">
        <f t="shared" si="26"/>
        <v>1.5050054044148076</v>
      </c>
      <c r="N70" s="128">
        <f t="shared" si="27"/>
        <v>-1.8438550458479238E-16</v>
      </c>
      <c r="O70" s="106"/>
      <c r="P70" s="106"/>
      <c r="Q70" s="165"/>
      <c r="R70" s="108"/>
      <c r="S70" s="106"/>
      <c r="V70" s="268"/>
    </row>
    <row r="71" spans="1:22" s="18" customFormat="1">
      <c r="A71" s="173"/>
      <c r="B71" s="151"/>
      <c r="C71" s="127">
        <f>C57+$R$3</f>
        <v>-2.15</v>
      </c>
      <c r="D71" s="127">
        <f>D57+$S$3</f>
        <v>2.634069178053533E-16</v>
      </c>
      <c r="E71" s="106"/>
      <c r="F71" s="107"/>
      <c r="G71" s="103"/>
      <c r="H71" s="119" t="s">
        <v>51</v>
      </c>
      <c r="I71" s="119">
        <f t="shared" si="24"/>
        <v>4.1771490336169226</v>
      </c>
      <c r="J71" s="119">
        <f t="shared" si="25"/>
        <v>-5.1176276844588076E-16</v>
      </c>
      <c r="K71" s="123"/>
      <c r="L71" s="151"/>
      <c r="M71" s="128">
        <f t="shared" si="26"/>
        <v>2.0271490336169227</v>
      </c>
      <c r="N71" s="128">
        <f t="shared" si="27"/>
        <v>-2.4835585064052746E-16</v>
      </c>
      <c r="O71" s="106"/>
      <c r="P71" s="106"/>
      <c r="Q71" s="165"/>
      <c r="R71" s="108"/>
      <c r="S71" s="106"/>
      <c r="V71" s="268"/>
    </row>
    <row r="72" spans="1:22" s="18" customFormat="1">
      <c r="A72" s="173"/>
      <c r="B72" s="106"/>
      <c r="C72" s="106"/>
      <c r="D72" s="103"/>
      <c r="E72" s="106"/>
      <c r="F72" s="107"/>
      <c r="G72" s="103"/>
      <c r="H72" s="123"/>
      <c r="I72" s="123"/>
      <c r="J72" s="121"/>
      <c r="K72" s="123"/>
      <c r="L72" s="124"/>
      <c r="M72" s="121"/>
      <c r="N72" s="123"/>
      <c r="O72" s="123"/>
      <c r="P72" s="106"/>
      <c r="Q72" s="165"/>
      <c r="R72" s="106"/>
      <c r="S72" s="253"/>
      <c r="T72" s="106"/>
      <c r="V72" s="268"/>
    </row>
    <row r="73" spans="1:22" s="18" customFormat="1">
      <c r="A73" s="173"/>
      <c r="B73" s="234" t="s">
        <v>100</v>
      </c>
      <c r="C73" s="134"/>
      <c r="D73" s="134"/>
      <c r="E73" s="133"/>
      <c r="F73" s="107"/>
      <c r="G73" s="103"/>
      <c r="H73" s="133" t="s">
        <v>2</v>
      </c>
      <c r="I73" s="134"/>
      <c r="J73" s="134"/>
      <c r="K73" s="134"/>
      <c r="L73" s="107"/>
      <c r="M73" s="234" t="s">
        <v>101</v>
      </c>
      <c r="N73" s="134"/>
      <c r="O73" s="134"/>
      <c r="P73" s="133"/>
      <c r="Q73" s="165"/>
      <c r="R73" s="108"/>
      <c r="S73" s="106"/>
      <c r="V73" s="268"/>
    </row>
    <row r="74" spans="1:22" s="18" customFormat="1">
      <c r="A74" s="173"/>
      <c r="B74" s="125" t="s">
        <v>67</v>
      </c>
      <c r="C74" s="139" t="s">
        <v>69</v>
      </c>
      <c r="D74" s="139"/>
      <c r="E74" s="129" t="s">
        <v>66</v>
      </c>
      <c r="F74" s="107"/>
      <c r="G74" s="103"/>
      <c r="H74" s="118" t="s">
        <v>67</v>
      </c>
      <c r="I74" s="150" t="s">
        <v>69</v>
      </c>
      <c r="J74" s="143"/>
      <c r="K74" s="130" t="s">
        <v>66</v>
      </c>
      <c r="L74" s="107"/>
      <c r="M74" s="126" t="s">
        <v>67</v>
      </c>
      <c r="N74" s="145" t="s">
        <v>69</v>
      </c>
      <c r="O74" s="145"/>
      <c r="P74" s="131" t="s">
        <v>66</v>
      </c>
      <c r="Q74" s="165"/>
      <c r="R74" s="108"/>
      <c r="S74" s="106"/>
      <c r="V74" s="268"/>
    </row>
    <row r="75" spans="1:22" s="18" customFormat="1">
      <c r="A75" s="173"/>
      <c r="B75" s="127">
        <f t="shared" ref="B75:B83" si="30">SQRT(C63*C63+D63*D63)</f>
        <v>2.15</v>
      </c>
      <c r="C75" s="140">
        <f t="shared" ref="C75:C83" si="31">DEGREES(ATAN((B75-C63)/D63))</f>
        <v>90</v>
      </c>
      <c r="D75" s="140" t="str">
        <f>IF(C75&lt;0,"180","0")</f>
        <v>0</v>
      </c>
      <c r="E75" s="141">
        <f>C75+D75</f>
        <v>90</v>
      </c>
      <c r="F75" s="107"/>
      <c r="G75" s="119" t="s">
        <v>77</v>
      </c>
      <c r="H75" s="119">
        <f t="shared" ref="H75:H83" si="32">2*SQRT(I49*I49+J49*J49)</f>
        <v>1.392383011205641</v>
      </c>
      <c r="I75" s="144">
        <f t="shared" ref="I75:I83" si="33">DEGREES(ATAN((H75-I63)/J63))</f>
        <v>-90</v>
      </c>
      <c r="J75" s="144" t="str">
        <f>IF(I75&lt;0,"180","0")</f>
        <v>180</v>
      </c>
      <c r="K75" s="138">
        <f>I75+J75</f>
        <v>90</v>
      </c>
      <c r="L75" s="107"/>
      <c r="M75" s="128">
        <f t="shared" ref="M75:M83" si="34">SQRT(M63*M63+N63*N63)</f>
        <v>1.4538084943971794</v>
      </c>
      <c r="N75" s="146">
        <f t="shared" ref="N75:N83" si="35">DEGREES(ATAN((M75-M63)/N63))</f>
        <v>90</v>
      </c>
      <c r="O75" s="146" t="str">
        <f>IF(N75&lt;0,"180","0")</f>
        <v>0</v>
      </c>
      <c r="P75" s="142">
        <f>N75+O75</f>
        <v>90</v>
      </c>
      <c r="Q75" s="165"/>
      <c r="R75" s="108"/>
      <c r="S75" s="106"/>
      <c r="V75" s="268"/>
    </row>
    <row r="76" spans="1:22" s="18" customFormat="1">
      <c r="A76" s="173"/>
      <c r="B76" s="127">
        <f t="shared" si="30"/>
        <v>2.15</v>
      </c>
      <c r="C76" s="140">
        <f t="shared" si="31"/>
        <v>90</v>
      </c>
      <c r="D76" s="140" t="str">
        <f>IF(C76&lt;0,"180","0")</f>
        <v>0</v>
      </c>
      <c r="E76" s="141">
        <f>C76+D76</f>
        <v>90</v>
      </c>
      <c r="F76" s="107"/>
      <c r="G76" s="119" t="s">
        <v>45</v>
      </c>
      <c r="H76" s="119">
        <f t="shared" si="32"/>
        <v>2.0885745168084613</v>
      </c>
      <c r="I76" s="144">
        <f t="shared" si="33"/>
        <v>-90</v>
      </c>
      <c r="J76" s="144" t="str">
        <f>IF(I76&lt;0,"180","0")</f>
        <v>180</v>
      </c>
      <c r="K76" s="138">
        <f>I76+J76</f>
        <v>90</v>
      </c>
      <c r="L76" s="107"/>
      <c r="M76" s="128">
        <f t="shared" si="34"/>
        <v>1.1057127415957693</v>
      </c>
      <c r="N76" s="146">
        <f t="shared" si="35"/>
        <v>90</v>
      </c>
      <c r="O76" s="146" t="str">
        <f>IF(N76&lt;0,"180","0")</f>
        <v>0</v>
      </c>
      <c r="P76" s="142">
        <f>N76+O76</f>
        <v>90</v>
      </c>
      <c r="Q76" s="165"/>
      <c r="R76" s="108"/>
      <c r="S76" s="106"/>
      <c r="V76" s="268"/>
    </row>
    <row r="77" spans="1:22" s="18" customFormat="1">
      <c r="A77" s="173"/>
      <c r="B77" s="127">
        <f t="shared" si="30"/>
        <v>2.15</v>
      </c>
      <c r="C77" s="140">
        <f t="shared" si="31"/>
        <v>90</v>
      </c>
      <c r="D77" s="140" t="str">
        <f t="shared" ref="D77:D83" si="36">IF(C77&lt;0,"180","0")</f>
        <v>0</v>
      </c>
      <c r="E77" s="141">
        <f t="shared" ref="E77:E83" si="37">C77+D77</f>
        <v>90</v>
      </c>
      <c r="F77" s="107"/>
      <c r="G77" s="119" t="s">
        <v>46</v>
      </c>
      <c r="H77" s="119">
        <f t="shared" si="32"/>
        <v>3.1328617752126924</v>
      </c>
      <c r="I77" s="144">
        <f t="shared" si="33"/>
        <v>-90</v>
      </c>
      <c r="J77" s="144" t="str">
        <f t="shared" ref="J77:J83" si="38">IF(I77&lt;0,"180","0")</f>
        <v>180</v>
      </c>
      <c r="K77" s="138">
        <f t="shared" ref="K77:K83" si="39">I77+J77</f>
        <v>90</v>
      </c>
      <c r="L77" s="107"/>
      <c r="M77" s="128">
        <f t="shared" si="34"/>
        <v>0.58356911239365372</v>
      </c>
      <c r="N77" s="146">
        <f t="shared" si="35"/>
        <v>90</v>
      </c>
      <c r="O77" s="146" t="str">
        <f t="shared" ref="O77:O83" si="40">IF(N77&lt;0,"180","0")</f>
        <v>0</v>
      </c>
      <c r="P77" s="142">
        <f t="shared" ref="P77:P83" si="41">N77+O77</f>
        <v>90</v>
      </c>
      <c r="Q77" s="165"/>
      <c r="R77" s="108"/>
      <c r="S77" s="106"/>
      <c r="V77" s="268"/>
    </row>
    <row r="78" spans="1:22" s="18" customFormat="1">
      <c r="A78" s="173"/>
      <c r="B78" s="127">
        <f t="shared" si="30"/>
        <v>2.15</v>
      </c>
      <c r="C78" s="140">
        <f t="shared" si="31"/>
        <v>90</v>
      </c>
      <c r="D78" s="140" t="str">
        <f t="shared" si="36"/>
        <v>0</v>
      </c>
      <c r="E78" s="141">
        <f t="shared" si="37"/>
        <v>90</v>
      </c>
      <c r="F78" s="107"/>
      <c r="G78" s="119" t="s">
        <v>47</v>
      </c>
      <c r="H78" s="119">
        <f t="shared" si="32"/>
        <v>4.1771490336169226</v>
      </c>
      <c r="I78" s="144">
        <f t="shared" si="33"/>
        <v>-90</v>
      </c>
      <c r="J78" s="144" t="str">
        <f t="shared" si="38"/>
        <v>180</v>
      </c>
      <c r="K78" s="138">
        <f t="shared" si="39"/>
        <v>90</v>
      </c>
      <c r="L78" s="107"/>
      <c r="M78" s="128">
        <f t="shared" si="34"/>
        <v>6.1425483191538621E-2</v>
      </c>
      <c r="N78" s="146">
        <f t="shared" si="35"/>
        <v>90</v>
      </c>
      <c r="O78" s="146" t="str">
        <f t="shared" si="40"/>
        <v>0</v>
      </c>
      <c r="P78" s="142">
        <f t="shared" si="41"/>
        <v>90</v>
      </c>
      <c r="Q78" s="165"/>
      <c r="R78" s="108"/>
      <c r="S78" s="106"/>
      <c r="V78" s="268"/>
    </row>
    <row r="79" spans="1:22" s="18" customFormat="1">
      <c r="A79" s="173"/>
      <c r="B79" s="127">
        <f t="shared" si="30"/>
        <v>2.15</v>
      </c>
      <c r="C79" s="140">
        <f t="shared" si="31"/>
        <v>90</v>
      </c>
      <c r="D79" s="140" t="str">
        <f t="shared" si="36"/>
        <v>0</v>
      </c>
      <c r="E79" s="141">
        <f t="shared" si="37"/>
        <v>90</v>
      </c>
      <c r="F79" s="107"/>
      <c r="G79" s="119" t="s">
        <v>48</v>
      </c>
      <c r="H79" s="119">
        <f t="shared" si="32"/>
        <v>5.2214362920211537</v>
      </c>
      <c r="I79" s="144">
        <f t="shared" si="33"/>
        <v>-90</v>
      </c>
      <c r="J79" s="144" t="str">
        <f t="shared" si="38"/>
        <v>180</v>
      </c>
      <c r="K79" s="138">
        <f t="shared" si="39"/>
        <v>90</v>
      </c>
      <c r="L79" s="107"/>
      <c r="M79" s="128">
        <f t="shared" si="34"/>
        <v>0.46071814601057692</v>
      </c>
      <c r="N79" s="146">
        <f t="shared" si="35"/>
        <v>0</v>
      </c>
      <c r="O79" s="146" t="str">
        <f t="shared" si="40"/>
        <v>0</v>
      </c>
      <c r="P79" s="142">
        <f t="shared" si="41"/>
        <v>0</v>
      </c>
      <c r="Q79" s="165"/>
      <c r="R79" s="108"/>
      <c r="S79" s="106"/>
      <c r="V79" s="268"/>
    </row>
    <row r="80" spans="1:22" s="18" customFormat="1">
      <c r="A80" s="173"/>
      <c r="B80" s="127">
        <f t="shared" si="30"/>
        <v>2.15</v>
      </c>
      <c r="C80" s="140">
        <f t="shared" si="31"/>
        <v>90</v>
      </c>
      <c r="D80" s="140" t="str">
        <f t="shared" ref="D80" si="42">IF(C80&lt;0,"180","0")</f>
        <v>0</v>
      </c>
      <c r="E80" s="141">
        <f t="shared" ref="E80" si="43">C80+D80</f>
        <v>90</v>
      </c>
      <c r="F80" s="107"/>
      <c r="G80" s="119"/>
      <c r="H80" s="119">
        <f t="shared" si="32"/>
        <v>5.569532044822564</v>
      </c>
      <c r="I80" s="144">
        <f t="shared" si="33"/>
        <v>-90</v>
      </c>
      <c r="J80" s="144" t="str">
        <f t="shared" ref="J80" si="44">IF(I80&lt;0,"180","0")</f>
        <v>180</v>
      </c>
      <c r="K80" s="138">
        <f t="shared" ref="K80" si="45">I80+J80</f>
        <v>90</v>
      </c>
      <c r="L80" s="107"/>
      <c r="M80" s="128">
        <f t="shared" si="34"/>
        <v>0.6347660224112821</v>
      </c>
      <c r="N80" s="146">
        <f t="shared" si="35"/>
        <v>0</v>
      </c>
      <c r="O80" s="146" t="str">
        <f t="shared" ref="O80" si="46">IF(N80&lt;0,"180","0")</f>
        <v>0</v>
      </c>
      <c r="P80" s="142">
        <f t="shared" ref="P80" si="47">N80+O80</f>
        <v>0</v>
      </c>
      <c r="Q80" s="165"/>
      <c r="R80" s="108"/>
      <c r="S80" s="106"/>
      <c r="V80" s="268"/>
    </row>
    <row r="81" spans="1:22" s="18" customFormat="1">
      <c r="A81" s="173"/>
      <c r="B81" s="127">
        <f t="shared" si="30"/>
        <v>2.15</v>
      </c>
      <c r="C81" s="140">
        <f t="shared" si="31"/>
        <v>90</v>
      </c>
      <c r="D81" s="140" t="str">
        <f t="shared" si="36"/>
        <v>0</v>
      </c>
      <c r="E81" s="141">
        <f t="shared" si="37"/>
        <v>90</v>
      </c>
      <c r="F81" s="107"/>
      <c r="G81" s="119" t="s">
        <v>49</v>
      </c>
      <c r="H81" s="119">
        <f t="shared" si="32"/>
        <v>6.2657235504253848</v>
      </c>
      <c r="I81" s="144">
        <f t="shared" si="33"/>
        <v>-90</v>
      </c>
      <c r="J81" s="144" t="str">
        <f t="shared" si="38"/>
        <v>180</v>
      </c>
      <c r="K81" s="138">
        <f t="shared" si="39"/>
        <v>90</v>
      </c>
      <c r="L81" s="107"/>
      <c r="M81" s="128">
        <f t="shared" si="34"/>
        <v>0.98286177521269247</v>
      </c>
      <c r="N81" s="146">
        <f t="shared" si="35"/>
        <v>0</v>
      </c>
      <c r="O81" s="146" t="str">
        <f t="shared" si="40"/>
        <v>0</v>
      </c>
      <c r="P81" s="142">
        <f t="shared" si="41"/>
        <v>0</v>
      </c>
      <c r="Q81" s="165"/>
      <c r="R81" s="108"/>
      <c r="S81" s="106"/>
      <c r="V81" s="268"/>
    </row>
    <row r="82" spans="1:22" s="18" customFormat="1">
      <c r="A82" s="173"/>
      <c r="B82" s="127">
        <f t="shared" si="30"/>
        <v>2.15</v>
      </c>
      <c r="C82" s="140">
        <f t="shared" si="31"/>
        <v>90</v>
      </c>
      <c r="D82" s="140" t="str">
        <f t="shared" si="36"/>
        <v>0</v>
      </c>
      <c r="E82" s="141">
        <f t="shared" si="37"/>
        <v>90</v>
      </c>
      <c r="F82" s="107"/>
      <c r="G82" s="119" t="s">
        <v>50</v>
      </c>
      <c r="H82" s="119">
        <f t="shared" si="32"/>
        <v>7.310010808829615</v>
      </c>
      <c r="I82" s="144">
        <f t="shared" si="33"/>
        <v>-90</v>
      </c>
      <c r="J82" s="144" t="str">
        <f t="shared" si="38"/>
        <v>180</v>
      </c>
      <c r="K82" s="138">
        <f t="shared" si="39"/>
        <v>90</v>
      </c>
      <c r="L82" s="107"/>
      <c r="M82" s="128">
        <f t="shared" si="34"/>
        <v>1.5050054044148076</v>
      </c>
      <c r="N82" s="146">
        <f t="shared" si="35"/>
        <v>0</v>
      </c>
      <c r="O82" s="146" t="str">
        <f t="shared" si="40"/>
        <v>0</v>
      </c>
      <c r="P82" s="142">
        <f t="shared" si="41"/>
        <v>0</v>
      </c>
      <c r="Q82" s="165"/>
      <c r="R82" s="108"/>
      <c r="S82" s="106"/>
      <c r="V82" s="268"/>
    </row>
    <row r="83" spans="1:22" s="18" customFormat="1">
      <c r="A83" s="173"/>
      <c r="B83" s="127">
        <f t="shared" si="30"/>
        <v>2.15</v>
      </c>
      <c r="C83" s="140">
        <f t="shared" si="31"/>
        <v>90</v>
      </c>
      <c r="D83" s="140" t="str">
        <f t="shared" si="36"/>
        <v>0</v>
      </c>
      <c r="E83" s="141">
        <f t="shared" si="37"/>
        <v>90</v>
      </c>
      <c r="F83" s="107"/>
      <c r="G83" s="119" t="s">
        <v>51</v>
      </c>
      <c r="H83" s="119">
        <f t="shared" si="32"/>
        <v>8.3542980672338452</v>
      </c>
      <c r="I83" s="144">
        <f t="shared" si="33"/>
        <v>-90</v>
      </c>
      <c r="J83" s="144" t="str">
        <f t="shared" si="38"/>
        <v>180</v>
      </c>
      <c r="K83" s="138">
        <f t="shared" si="39"/>
        <v>90</v>
      </c>
      <c r="L83" s="107"/>
      <c r="M83" s="128">
        <f t="shared" si="34"/>
        <v>2.0271490336169227</v>
      </c>
      <c r="N83" s="146">
        <f t="shared" si="35"/>
        <v>0</v>
      </c>
      <c r="O83" s="146" t="str">
        <f t="shared" si="40"/>
        <v>0</v>
      </c>
      <c r="P83" s="142">
        <f t="shared" si="41"/>
        <v>0</v>
      </c>
      <c r="Q83" s="165"/>
      <c r="R83" s="108"/>
      <c r="S83" s="106"/>
      <c r="V83" s="268"/>
    </row>
    <row r="84" spans="1:22" s="18" customFormat="1" ht="14" thickBot="1">
      <c r="A84" s="174"/>
      <c r="B84" s="175"/>
      <c r="C84" s="175"/>
      <c r="D84" s="176"/>
      <c r="E84" s="175"/>
      <c r="F84" s="177"/>
      <c r="G84" s="176"/>
      <c r="H84" s="175"/>
      <c r="I84" s="175"/>
      <c r="J84" s="176"/>
      <c r="K84" s="175"/>
      <c r="L84" s="177"/>
      <c r="M84" s="176"/>
      <c r="N84" s="175"/>
      <c r="O84" s="175"/>
      <c r="P84" s="175"/>
      <c r="Q84" s="172"/>
      <c r="R84" s="106"/>
      <c r="S84" s="253"/>
      <c r="T84" s="106"/>
      <c r="V84" s="268"/>
    </row>
    <row r="85" spans="1:22" s="18" customFormat="1">
      <c r="A85" s="103"/>
      <c r="B85" s="106"/>
      <c r="C85" s="106"/>
      <c r="D85" s="103"/>
      <c r="E85" s="106"/>
      <c r="F85" s="107"/>
      <c r="G85" s="103"/>
      <c r="H85" s="106"/>
      <c r="I85" s="106"/>
      <c r="J85" s="103"/>
      <c r="K85" s="106"/>
      <c r="L85" s="107"/>
      <c r="M85" s="103"/>
      <c r="N85" s="106"/>
      <c r="O85" s="106"/>
      <c r="P85" s="106"/>
      <c r="Q85" s="106"/>
      <c r="R85" s="106"/>
      <c r="S85" s="108"/>
      <c r="T85" s="106"/>
      <c r="V85" s="268"/>
    </row>
    <row r="86" spans="1:22" s="18" customFormat="1">
      <c r="A86" s="6"/>
      <c r="B86" s="6"/>
      <c r="C86" s="6"/>
      <c r="D86" s="3"/>
      <c r="E86" s="3"/>
      <c r="F86" s="3"/>
      <c r="G86" s="4"/>
      <c r="N86" s="2"/>
      <c r="O86" s="2"/>
      <c r="P86" s="2"/>
      <c r="V86" s="268"/>
    </row>
    <row r="87" spans="1:22" ht="18">
      <c r="A87" s="53" t="s">
        <v>11</v>
      </c>
      <c r="B87" s="89"/>
      <c r="C87" s="54"/>
      <c r="D87" s="54"/>
      <c r="E87" s="54"/>
      <c r="F87" s="54"/>
      <c r="G87" s="54"/>
      <c r="H87" s="54"/>
      <c r="I87" s="54"/>
      <c r="J87" s="54"/>
      <c r="K87" s="55"/>
      <c r="L87" s="2"/>
      <c r="M87" s="5"/>
      <c r="N87" s="5"/>
      <c r="O87" s="2"/>
      <c r="P87" s="2"/>
      <c r="Q87" s="2"/>
    </row>
    <row r="88" spans="1:22" ht="26">
      <c r="A88" s="7" t="s">
        <v>12</v>
      </c>
      <c r="B88" s="8" t="s">
        <v>13</v>
      </c>
      <c r="C88" s="8" t="s">
        <v>13</v>
      </c>
      <c r="D88" s="8" t="s">
        <v>4</v>
      </c>
      <c r="E88" s="8" t="s">
        <v>14</v>
      </c>
      <c r="F88" s="8" t="s">
        <v>15</v>
      </c>
      <c r="G88" s="8" t="s">
        <v>16</v>
      </c>
      <c r="H88" s="8" t="s">
        <v>17</v>
      </c>
      <c r="I88" s="8" t="s">
        <v>18</v>
      </c>
      <c r="J88" s="8" t="s">
        <v>19</v>
      </c>
      <c r="K88" s="9" t="s">
        <v>20</v>
      </c>
      <c r="L88" s="10"/>
      <c r="M88" s="218"/>
      <c r="N88" s="10"/>
      <c r="O88" s="10"/>
      <c r="P88" s="10"/>
      <c r="Q88" s="10"/>
    </row>
    <row r="89" spans="1:22">
      <c r="A89" s="11">
        <f>Calculator!B15</f>
        <v>5.55</v>
      </c>
      <c r="B89" s="13">
        <f>B3</f>
        <v>23</v>
      </c>
      <c r="C89" s="13">
        <f>IF(B89&lt;18.5,18.5,IF(B89&lt;=31,B89,31))</f>
        <v>23</v>
      </c>
      <c r="D89" s="13">
        <f>E7</f>
        <v>43</v>
      </c>
      <c r="E89" s="12">
        <v>12</v>
      </c>
      <c r="F89" s="12">
        <f>B4</f>
        <v>0</v>
      </c>
      <c r="G89" s="12">
        <f>IF(C89&lt;23,1,-1)</f>
        <v>-1</v>
      </c>
      <c r="H89" s="12">
        <f>IF(C89&lt;23,28,23.5)</f>
        <v>23.5</v>
      </c>
      <c r="I89" s="226">
        <f>A89+0.3*(C89-23.5)+(TAN(D89*PI()/180))^2+(0.1*G89*(23.5-C89)^2*(TAN(0.1*(H89-C89)^2*PI()/180)))-0.99166</f>
        <v>5.2779134775658125</v>
      </c>
      <c r="J89" s="13">
        <f>(1.336/(1.336/(1336/(C89-I89-0.05)-B6)+(I89+0.05)/1000))-D89</f>
        <v>5.1274235265992729E-2</v>
      </c>
      <c r="K89" s="224">
        <f>(1336/(C89-I89-0.05))-(1.336/((1.336/(D89+F89/(1-0.001*E89*F89)))-((I89+0.05)/1000)))</f>
        <v>23.699535056199174</v>
      </c>
      <c r="L89" s="2"/>
      <c r="M89" s="219"/>
      <c r="N89" s="2"/>
      <c r="O89" s="2"/>
      <c r="P89" s="2"/>
      <c r="Q89" s="2"/>
    </row>
    <row r="90" spans="1:22">
      <c r="A90" s="15">
        <f>A89</f>
        <v>5.55</v>
      </c>
      <c r="B90" s="17">
        <f>B89</f>
        <v>23</v>
      </c>
      <c r="C90" s="17">
        <f>IF(B90&lt;18.5,18.5,IF(B90&lt;=31,B90,31))</f>
        <v>23</v>
      </c>
      <c r="D90" s="17">
        <f>E5</f>
        <v>44</v>
      </c>
      <c r="E90" s="16">
        <v>12</v>
      </c>
      <c r="F90" s="16">
        <f>F89</f>
        <v>0</v>
      </c>
      <c r="G90" s="16">
        <f>IF(C90&lt;23,1,-1)</f>
        <v>-1</v>
      </c>
      <c r="H90" s="16">
        <f>IF(C90&lt;23,28,23.5)</f>
        <v>23.5</v>
      </c>
      <c r="I90" s="13">
        <f>I89</f>
        <v>5.2779134775658125</v>
      </c>
      <c r="J90" s="17"/>
      <c r="K90" s="220">
        <f>(1336/(C90-I90-0.05))-(1.336/((1.336/(D90+F90/(1-0.001*E90*F90)))-((I90+0.05)/1000)))</f>
        <v>22.235701069509247</v>
      </c>
      <c r="L90" s="2"/>
      <c r="N90" s="5"/>
      <c r="O90" s="5"/>
      <c r="P90" s="5"/>
      <c r="Q90" s="5"/>
      <c r="S90" s="223">
        <f>K91-K90</f>
        <v>2.9136435406313836</v>
      </c>
    </row>
    <row r="91" spans="1:22">
      <c r="A91" s="15">
        <f>A89</f>
        <v>5.55</v>
      </c>
      <c r="B91" s="17">
        <f>B89</f>
        <v>23</v>
      </c>
      <c r="C91" s="17">
        <f>IF(B91&lt;18.5,18.5,IF(B91&lt;=31,B91,31))</f>
        <v>23</v>
      </c>
      <c r="D91" s="17">
        <f>E6</f>
        <v>42</v>
      </c>
      <c r="E91" s="16">
        <v>12</v>
      </c>
      <c r="F91" s="16">
        <f>F89</f>
        <v>0</v>
      </c>
      <c r="G91" s="16">
        <f>IF(C91&lt;23,1,-1)</f>
        <v>-1</v>
      </c>
      <c r="H91" s="16">
        <f>IF(C91&lt;23,28,23.5)</f>
        <v>23.5</v>
      </c>
      <c r="I91" s="13">
        <f>I89</f>
        <v>5.2779134775658125</v>
      </c>
      <c r="J91" s="17"/>
      <c r="K91" s="220">
        <f>(1336/(C91-I91-0.05))-(1.336/((1.336/(D91+F91/(1-0.001*E91*F91)))-((I91+0.05)/1000)))</f>
        <v>25.149344610140631</v>
      </c>
      <c r="L91" s="2"/>
      <c r="M91" s="219"/>
      <c r="N91" s="5"/>
      <c r="O91" s="5"/>
      <c r="P91" s="5"/>
      <c r="Q91" s="5"/>
    </row>
    <row r="92" spans="1:22">
      <c r="A92" s="12"/>
      <c r="B92" s="12"/>
      <c r="C92" s="12"/>
      <c r="D92" s="13"/>
      <c r="E92" s="12"/>
      <c r="F92" s="12"/>
      <c r="G92" s="12"/>
      <c r="H92" s="12"/>
      <c r="I92" s="51"/>
      <c r="J92" s="13"/>
      <c r="K92" s="13"/>
      <c r="L92" s="5"/>
      <c r="M92" s="5"/>
      <c r="N92" s="5"/>
      <c r="O92" s="5"/>
      <c r="P92" s="5"/>
      <c r="Q92" s="5"/>
    </row>
    <row r="93" spans="1:22" ht="18">
      <c r="A93" s="56" t="s">
        <v>8</v>
      </c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"/>
      <c r="N93" s="5"/>
      <c r="O93" s="5"/>
      <c r="P93" s="5"/>
      <c r="Q93" s="18"/>
    </row>
    <row r="94" spans="1:22" ht="26">
      <c r="A94" s="19" t="s">
        <v>21</v>
      </c>
      <c r="B94" s="19" t="s">
        <v>13</v>
      </c>
      <c r="C94" s="19" t="s">
        <v>22</v>
      </c>
      <c r="D94" s="19" t="s">
        <v>4</v>
      </c>
      <c r="E94" s="19" t="s">
        <v>23</v>
      </c>
      <c r="F94" s="19" t="s">
        <v>14</v>
      </c>
      <c r="G94" s="19" t="s">
        <v>24</v>
      </c>
      <c r="H94" s="19" t="s">
        <v>25</v>
      </c>
      <c r="I94" s="19" t="s">
        <v>26</v>
      </c>
      <c r="J94" s="19" t="s">
        <v>20</v>
      </c>
      <c r="K94" s="19" t="s">
        <v>27</v>
      </c>
      <c r="L94" s="19" t="s">
        <v>28</v>
      </c>
      <c r="M94" s="52"/>
      <c r="N94" s="5"/>
      <c r="O94" s="52"/>
      <c r="P94" s="52"/>
    </row>
    <row r="95" spans="1:22" hidden="1">
      <c r="A95" s="20">
        <v>1.45</v>
      </c>
      <c r="B95" s="20">
        <v>22</v>
      </c>
      <c r="C95" s="20">
        <f>B95+0.2</f>
        <v>22.2</v>
      </c>
      <c r="D95" s="20">
        <v>40</v>
      </c>
      <c r="E95" s="20">
        <f>337.5/D95</f>
        <v>8.4375</v>
      </c>
      <c r="F95" s="20">
        <v>12</v>
      </c>
      <c r="G95" s="20">
        <v>-0.5</v>
      </c>
      <c r="H95" s="20">
        <f>12.5*B95/23.45</f>
        <v>11.727078891257996</v>
      </c>
      <c r="I95" s="20">
        <f>0.56+E95-SQRT(E95^2-H95^2/4)</f>
        <v>2.9303498106975479</v>
      </c>
      <c r="J95" s="20">
        <f>1336*(1.336*E95-1/3*C95-0.001*G95*(F95*(1.336*E95-1/3*C95)+C95*E95))/((C95-I95-A95)*(1.336*E95-1/3*(I95+A95)-0.001*G95*(F95*(1.336*E95-1/3*(I95+A95))+(I95+A95)*E95)))</f>
        <v>30.243298718345482</v>
      </c>
      <c r="K95" s="20"/>
      <c r="L95" s="21"/>
    </row>
    <row r="96" spans="1:22" hidden="1">
      <c r="A96" s="20">
        <v>0.5</v>
      </c>
      <c r="B96" s="20">
        <v>22</v>
      </c>
      <c r="C96" s="20">
        <f>B96+0.2</f>
        <v>22.2</v>
      </c>
      <c r="D96" s="20">
        <v>41</v>
      </c>
      <c r="E96" s="20">
        <f>337.5/D96</f>
        <v>8.2317073170731714</v>
      </c>
      <c r="F96" s="20">
        <v>12</v>
      </c>
      <c r="G96" s="20">
        <v>-0.5</v>
      </c>
      <c r="H96" s="20">
        <f>12.5*B96/23.45</f>
        <v>11.727078891257996</v>
      </c>
      <c r="I96" s="20">
        <f>0.56+E96-SQRT(E96^2-H96^2/4)</f>
        <v>3.0141723302895542</v>
      </c>
      <c r="J96" s="20">
        <f>1336*(1.336*E96-1/3*C96-0.001*G96*(F96*(1.336*E96-1/3*C96)+C96*E96))/((C96-I96-A96)*(1.336*E96-1/3*(I96+A96)-0.001*G96*(F96*(1.336*E96-1/3*(I96+A96))+(I96+A96)*E96)))</f>
        <v>26.798559001928492</v>
      </c>
      <c r="K96" s="20"/>
      <c r="L96" s="21"/>
    </row>
    <row r="97" spans="1:21" hidden="1">
      <c r="A97" s="20">
        <v>1.45</v>
      </c>
      <c r="B97" s="20">
        <v>30</v>
      </c>
      <c r="C97" s="22">
        <f>B97+0.2</f>
        <v>30.2</v>
      </c>
      <c r="D97" s="20">
        <v>35.22</v>
      </c>
      <c r="E97" s="22">
        <f>337.5/D97</f>
        <v>9.582623509369677</v>
      </c>
      <c r="F97" s="22">
        <v>12</v>
      </c>
      <c r="G97" s="22">
        <v>0</v>
      </c>
      <c r="H97" s="22">
        <v>13.5</v>
      </c>
      <c r="I97" s="22">
        <f>0.56+E97-SQRT(E97^2-H97^2/4)</f>
        <v>3.3408462914416734</v>
      </c>
      <c r="J97" s="22">
        <f>1336*(1.336*E97-1/3*C97-0.001*G97*(F97*(1.336*E97-1/3*C97)+C97*E97))/((C97-I97-A97)*(1.336*E97-1/3*(I97+A97)-0.001*G97*(F97*(1.336*E97-1/3*(I97+A97))+(I97+A97)*E97)))</f>
        <v>12.836861956288001</v>
      </c>
      <c r="K97" s="22"/>
      <c r="L97" s="21"/>
    </row>
    <row r="98" spans="1:21" hidden="1">
      <c r="A98" s="23"/>
      <c r="B98" s="23"/>
      <c r="C98" s="22"/>
      <c r="D98" s="23"/>
      <c r="E98" s="22"/>
      <c r="F98" s="22"/>
      <c r="G98" s="22"/>
      <c r="H98" s="22"/>
      <c r="I98" s="22"/>
      <c r="J98" s="22"/>
      <c r="K98" s="22"/>
      <c r="L98" s="21"/>
    </row>
    <row r="99" spans="1:21">
      <c r="A99" s="20">
        <f>Calculator!B16</f>
        <v>1.82</v>
      </c>
      <c r="B99" s="22">
        <f>B3</f>
        <v>23</v>
      </c>
      <c r="C99" s="22">
        <f>B99+0.2</f>
        <v>23.2</v>
      </c>
      <c r="D99" s="24">
        <f>E7</f>
        <v>43</v>
      </c>
      <c r="E99" s="24">
        <f>337.5/D99</f>
        <v>7.8488372093023253</v>
      </c>
      <c r="F99" s="22">
        <v>12</v>
      </c>
      <c r="G99" s="25">
        <f>F89</f>
        <v>0</v>
      </c>
      <c r="H99" s="23">
        <f>IF(12.5*B99/23.45&lt;13.5,12.5*B99/23.45,13.5)</f>
        <v>12.260127931769723</v>
      </c>
      <c r="I99" s="24">
        <f>0.56+E99-SQRT(E99^2-H99^2/4)</f>
        <v>3.5071475707910622</v>
      </c>
      <c r="J99" s="24">
        <f>1336*(1.336*E99-1/3*C99-0.001*G99*(F99*(1.336*E99-1/3*C99)+C99*E99))/((C99-I99-A99)*(1.336*E99-1/3*(I99+A99)-0.001*G99*(F99*(1.336*E99-1/3*(I99+A99))+(I99+A99)*E99)))</f>
        <v>23.623209906285894</v>
      </c>
      <c r="K99" s="24">
        <f>(1336*(1.336*E99-(4/3-1)*C99)-B6*(C99-I99-A99)*(1.336*E99-(4/3-1)*(I99+A99)))/(1.336*(12*(1.336*E99-(4/3-1)*C99)+C99*E99)-0.001*B6*(C99-I99-A99)*(12*(1.336*E99-(4/3-1)*(I99+A99))+(A99+I99)*E99))</f>
        <v>-1.1116150976264027E-3</v>
      </c>
      <c r="L99" s="24">
        <f>A99+I99</f>
        <v>5.3271475707910625</v>
      </c>
    </row>
    <row r="100" spans="1:21">
      <c r="A100" s="26">
        <f>A99</f>
        <v>1.82</v>
      </c>
      <c r="B100" s="27">
        <f>B99</f>
        <v>23</v>
      </c>
      <c r="C100" s="27">
        <f>B100+0.2</f>
        <v>23.2</v>
      </c>
      <c r="D100" s="28">
        <f>E5</f>
        <v>44</v>
      </c>
      <c r="E100" s="28">
        <f>337.5/D100</f>
        <v>7.6704545454545459</v>
      </c>
      <c r="F100" s="27">
        <v>12</v>
      </c>
      <c r="G100" s="29">
        <f>F89</f>
        <v>0</v>
      </c>
      <c r="H100" s="23">
        <f>IF(12.5*B100/23.45&lt;13.5,12.5*B100/23.45,13.5)</f>
        <v>12.260127931769723</v>
      </c>
      <c r="I100" s="28">
        <f>I99</f>
        <v>3.5071475707910622</v>
      </c>
      <c r="J100" s="24">
        <f>1336*(1.336*E100-1/3*C100-0.001*G100*(F100*(1.336*E100-1/3*C100)+C100*E100))/((C100-I100-A100)*(1.336*E100-1/3*(I100+A100)-0.001*G100*(F100*(1.336*E100-1/3*(I100+A100))+(I100+A100)*E100)))</f>
        <v>22.184997162353778</v>
      </c>
      <c r="K100" s="24"/>
      <c r="L100" s="24">
        <f>A100+I100</f>
        <v>5.3271475707910625</v>
      </c>
      <c r="S100" s="223">
        <f>J101-J100</f>
        <v>2.8628526901235816</v>
      </c>
      <c r="U100" s="222">
        <f>AVERAGE(S90,S100,S105)</f>
        <v>2.8727727699984413</v>
      </c>
    </row>
    <row r="101" spans="1:21">
      <c r="A101" s="26">
        <f>A99</f>
        <v>1.82</v>
      </c>
      <c r="B101" s="27">
        <f>B99</f>
        <v>23</v>
      </c>
      <c r="C101" s="27">
        <f>B101+0.2</f>
        <v>23.2</v>
      </c>
      <c r="D101" s="28">
        <f>E6</f>
        <v>42</v>
      </c>
      <c r="E101" s="28">
        <f>337.5/D101</f>
        <v>8.0357142857142865</v>
      </c>
      <c r="F101" s="27">
        <v>12</v>
      </c>
      <c r="G101" s="29">
        <f>F89</f>
        <v>0</v>
      </c>
      <c r="H101" s="23">
        <f>IF(12.5*B101/23.45&lt;13.5,12.5*B101/23.45,13.5)</f>
        <v>12.260127931769723</v>
      </c>
      <c r="I101" s="28">
        <f>I99</f>
        <v>3.5071475707910622</v>
      </c>
      <c r="J101" s="24">
        <f>1336*(1.336*E101-1/3*C101-0.001*G101*(F101*(1.336*E101-1/3*C101)+C101*E101))/((C101-I101-A101)*(1.336*E101-1/3*(I101+A101)-0.001*G101*(F101*(1.336*E101-1/3*(I101+A101))+(I101+A101)*E101)))</f>
        <v>25.047849852477359</v>
      </c>
      <c r="K101" s="24"/>
      <c r="L101" s="24">
        <f>A101+I101</f>
        <v>5.3271475707910625</v>
      </c>
    </row>
    <row r="102" spans="1:21" ht="14" thickBot="1">
      <c r="A102" s="30"/>
      <c r="B102" s="30"/>
      <c r="C102" s="30"/>
      <c r="D102" s="31"/>
      <c r="E102" s="31"/>
      <c r="F102" s="30"/>
      <c r="G102" s="30"/>
      <c r="H102" s="31"/>
      <c r="I102" s="31"/>
      <c r="J102" s="31"/>
      <c r="K102" s="32"/>
      <c r="L102" s="33"/>
    </row>
    <row r="103" spans="1:21" ht="18">
      <c r="A103" s="58" t="s">
        <v>9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60"/>
    </row>
    <row r="104" spans="1:21" ht="26">
      <c r="A104" s="34" t="s">
        <v>29</v>
      </c>
      <c r="B104" s="34" t="s">
        <v>30</v>
      </c>
      <c r="C104" s="34" t="s">
        <v>31</v>
      </c>
      <c r="D104" s="35" t="s">
        <v>4</v>
      </c>
      <c r="E104" s="35" t="s">
        <v>32</v>
      </c>
      <c r="F104" s="34" t="s">
        <v>33</v>
      </c>
      <c r="G104" s="34" t="s">
        <v>34</v>
      </c>
      <c r="H104" s="34" t="s">
        <v>35</v>
      </c>
      <c r="I104" s="34" t="s">
        <v>36</v>
      </c>
      <c r="J104" s="34" t="s">
        <v>37</v>
      </c>
      <c r="K104" s="34" t="s">
        <v>38</v>
      </c>
      <c r="L104" s="34" t="s">
        <v>39</v>
      </c>
      <c r="M104" s="34" t="s">
        <v>40</v>
      </c>
      <c r="N104" s="34" t="s">
        <v>41</v>
      </c>
      <c r="O104" s="34" t="s">
        <v>42</v>
      </c>
      <c r="P104" s="34" t="s">
        <v>19</v>
      </c>
      <c r="Q104" s="34" t="s">
        <v>43</v>
      </c>
    </row>
    <row r="105" spans="1:21">
      <c r="A105" s="36">
        <f>B3</f>
        <v>23</v>
      </c>
      <c r="B105" s="36">
        <f>Calculator!B17</f>
        <v>119.1</v>
      </c>
      <c r="C105" s="37">
        <f>0.62467*B105-68.747</f>
        <v>5.6511969999999963</v>
      </c>
      <c r="D105" s="36">
        <f>E7</f>
        <v>43</v>
      </c>
      <c r="E105" s="38">
        <f>337.5/D105</f>
        <v>7.8488372093023253</v>
      </c>
      <c r="F105" s="36">
        <f>IF(A105&gt;24.2,-3.446+1.716*A105-0.0237*A105^2,A105)</f>
        <v>23</v>
      </c>
      <c r="G105" s="38">
        <f>-5.41+0.58412*F105+0.098*D105</f>
        <v>12.238759999999999</v>
      </c>
      <c r="H105" s="38">
        <f>E105-SQRT(E105^2-G105^2/4)</f>
        <v>2.9338159526108836</v>
      </c>
      <c r="I105" s="36">
        <f>H105+C105-3.336</f>
        <v>5.2490129526108795</v>
      </c>
      <c r="J105" s="39">
        <v>12</v>
      </c>
      <c r="K105" s="38">
        <v>1.3360000000000001</v>
      </c>
      <c r="L105" s="38">
        <v>1.333</v>
      </c>
      <c r="M105" s="38">
        <v>0.33300000000000002</v>
      </c>
      <c r="N105" s="39">
        <f>0.65696-0.02029*A105</f>
        <v>0.19029000000000001</v>
      </c>
      <c r="O105" s="36">
        <f>A105+N105</f>
        <v>23.190290000000001</v>
      </c>
      <c r="P105" s="36">
        <f>(1336*(K105*E105-M105*O105)-B6*(O105-I105)*(K105*E105-M105*I105))/(K105*(12*(K105*E105-M105*O105)+O105*E105)-0.001*B6*(O105-I105)*(12*(K105*E105-M105*I105)+I105*E105))</f>
        <v>-5.0806290591276643E-2</v>
      </c>
      <c r="Q105" s="36">
        <f>(1000*K105*(K105*E105-M105*O105))/((O105-I105)*(K105*E105-M105*I105))</f>
        <v>23.551717812702098</v>
      </c>
      <c r="S105" s="221">
        <f>Q107-Q106</f>
        <v>2.8418220792403588</v>
      </c>
    </row>
    <row r="106" spans="1:21">
      <c r="A106" s="40">
        <f>A105</f>
        <v>23</v>
      </c>
      <c r="B106" s="40">
        <f>B105</f>
        <v>119.1</v>
      </c>
      <c r="C106" s="41">
        <f>0.62467*B106-68.747</f>
        <v>5.6511969999999963</v>
      </c>
      <c r="D106" s="40">
        <f>E5</f>
        <v>44</v>
      </c>
      <c r="E106" s="42">
        <f>337.5/D106</f>
        <v>7.6704545454545459</v>
      </c>
      <c r="F106" s="40">
        <f>IF(A106&gt;24.2,-3.446+1.716*A106-0.0237*A106^2,A106)</f>
        <v>23</v>
      </c>
      <c r="G106" s="42">
        <f>-5.41+0.58412*F106+0.098*D106</f>
        <v>12.336759999999998</v>
      </c>
      <c r="H106" s="42">
        <f>E106-SQRT(E106^2-G106^2/4)</f>
        <v>3.1111825520893426</v>
      </c>
      <c r="I106" s="40">
        <f>I105</f>
        <v>5.2490129526108795</v>
      </c>
      <c r="J106" s="43">
        <v>12</v>
      </c>
      <c r="K106" s="42">
        <v>1.3360000000000001</v>
      </c>
      <c r="L106" s="42">
        <v>1.333</v>
      </c>
      <c r="M106" s="42">
        <v>0.33300000000000002</v>
      </c>
      <c r="N106" s="43">
        <f>0.65696-0.02029*A106</f>
        <v>0.19029000000000001</v>
      </c>
      <c r="O106" s="41">
        <f>A106+N106</f>
        <v>23.190290000000001</v>
      </c>
      <c r="P106" s="40"/>
      <c r="Q106" s="36">
        <f>(1000*K106*(K106*E106-M106*O106))/((O106-I106)*(K106*E106-M106*I106))</f>
        <v>22.124196764125717</v>
      </c>
    </row>
    <row r="107" spans="1:21">
      <c r="A107" s="40">
        <f>A105</f>
        <v>23</v>
      </c>
      <c r="B107" s="40">
        <f>B105</f>
        <v>119.1</v>
      </c>
      <c r="C107" s="41">
        <f>0.62467*B107-68.747</f>
        <v>5.6511969999999963</v>
      </c>
      <c r="D107" s="40">
        <f>E6</f>
        <v>42</v>
      </c>
      <c r="E107" s="42">
        <f>337.5/D107</f>
        <v>8.0357142857142865</v>
      </c>
      <c r="F107" s="40">
        <f>IF(A107&gt;24.2,-3.446+1.716*A107-0.0237*A107^2,A107)</f>
        <v>23</v>
      </c>
      <c r="G107" s="42">
        <f>-5.41+0.58412*F107+0.098*D107</f>
        <v>12.14076</v>
      </c>
      <c r="H107" s="42">
        <f>E107-SQRT(E107^2-G107^2/4)</f>
        <v>2.7704326467862543</v>
      </c>
      <c r="I107" s="40">
        <f>I105</f>
        <v>5.2490129526108795</v>
      </c>
      <c r="J107" s="43">
        <v>12</v>
      </c>
      <c r="K107" s="42">
        <v>1.3360000000000001</v>
      </c>
      <c r="L107" s="42">
        <v>1.333</v>
      </c>
      <c r="M107" s="42">
        <v>0.33300000000000002</v>
      </c>
      <c r="N107" s="43">
        <f>0.65696-0.02029*A107</f>
        <v>0.19029000000000001</v>
      </c>
      <c r="O107" s="41">
        <f>A107+N107</f>
        <v>23.190290000000001</v>
      </c>
      <c r="P107" s="40"/>
      <c r="Q107" s="36">
        <f>(1000*K107*(K107*E107-M107*O107))/((O107-I107)*(K107*E107-M107*I107))</f>
        <v>24.966018843366076</v>
      </c>
    </row>
    <row r="108" spans="1:21" ht="14" thickBot="1">
      <c r="A108" s="44"/>
      <c r="B108" s="45"/>
      <c r="C108" s="45"/>
      <c r="D108" s="46"/>
      <c r="E108" s="47"/>
      <c r="F108" s="48"/>
      <c r="G108" s="49"/>
      <c r="H108" s="48"/>
      <c r="I108" s="46"/>
      <c r="J108" s="48"/>
      <c r="K108" s="47"/>
      <c r="L108" s="47"/>
      <c r="M108" s="47"/>
      <c r="N108" s="48"/>
      <c r="O108" s="48"/>
      <c r="P108" s="48"/>
      <c r="Q108" s="46"/>
    </row>
    <row r="109" spans="1:21">
      <c r="F109" s="50"/>
    </row>
  </sheetData>
  <sheetProtection password="EA05" sheet="1" objects="1" scenarios="1"/>
  <mergeCells count="13">
    <mergeCell ref="A59:Q59"/>
    <mergeCell ref="A45:Q45"/>
    <mergeCell ref="M1:W1"/>
    <mergeCell ref="B1:C1"/>
    <mergeCell ref="G3:G4"/>
    <mergeCell ref="G5:G7"/>
    <mergeCell ref="B9:E9"/>
    <mergeCell ref="B11:B12"/>
    <mergeCell ref="C11:C12"/>
    <mergeCell ref="D11:D12"/>
    <mergeCell ref="E11:E12"/>
    <mergeCell ref="M5:W5"/>
    <mergeCell ref="I17:K17"/>
  </mergeCells>
  <phoneticPr fontId="3" type="noConversion"/>
  <conditionalFormatting sqref="J20:J23 N4:O4 P7 M7 J25:J27">
    <cfRule type="cellIs" dxfId="2" priority="4" stopIfTrue="1" operator="between">
      <formula>0.5</formula>
      <formula>-0.5</formula>
    </cfRule>
  </conditionalFormatting>
  <conditionalFormatting sqref="J19">
    <cfRule type="cellIs" dxfId="1" priority="3" stopIfTrue="1" operator="between">
      <formula>0.5</formula>
      <formula>-0.5</formula>
    </cfRule>
  </conditionalFormatting>
  <conditionalFormatting sqref="J24">
    <cfRule type="cellIs" dxfId="0" priority="1" stopIfTrue="1" operator="between">
      <formula>0.5</formula>
      <formula>-0.5</formula>
    </cfRule>
  </conditionalFormatting>
  <pageMargins left="0" right="0" top="0.98425196850393704" bottom="0.98425196850393704" header="0.51181102362204722" footer="0.5118110236220472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KA</vt:lpstr>
      <vt:lpstr>TCA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Savini</dc:creator>
  <cp:lastModifiedBy>Giacomo Savini</cp:lastModifiedBy>
  <cp:lastPrinted>2018-01-01T17:45:06Z</cp:lastPrinted>
  <dcterms:created xsi:type="dcterms:W3CDTF">2011-08-10T20:30:11Z</dcterms:created>
  <dcterms:modified xsi:type="dcterms:W3CDTF">2018-01-02T21:54:20Z</dcterms:modified>
</cp:coreProperties>
</file>